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Desktop\12 PA đất NN\"/>
    </mc:Choice>
  </mc:AlternateContent>
  <bookViews>
    <workbookView xWindow="-120" yWindow="-120" windowWidth="24240" windowHeight="13140"/>
  </bookViews>
  <sheets>
    <sheet name="BTH 12 PA" sheetId="40" r:id="rId1"/>
    <sheet name="Kèm GM KTNY" sheetId="39" state="hidden" r:id="rId2"/>
    <sheet name="BTH 24 hộ" sheetId="1" state="hidden" r:id="rId3"/>
    <sheet name=" 1. Đỗ Văn Dân th13 + th12 t3" sheetId="3" r:id="rId4"/>
    <sheet name="2. Đỗ Văn Tĩnh" sheetId="42" r:id="rId5"/>
    <sheet name="3. Đỗ Thị Chi" sheetId="44" r:id="rId6"/>
    <sheet name="4. Lưu Tiến Tịnh" sheetId="45" r:id="rId7"/>
    <sheet name="5. Lưu Thị Nụ" sheetId="47" r:id="rId8"/>
    <sheet name="6. Nguyễn Văn Tùng" sheetId="48" r:id="rId9"/>
    <sheet name="7.  Phùng Quốc Long" sheetId="50" r:id="rId10"/>
    <sheet name="8. Nguyễn Ngọc Kính th18 t1" sheetId="51" r:id="rId11"/>
    <sheet name="9. Ngô Văn Lẫm" sheetId="52" r:id="rId12"/>
    <sheet name="10. Ngô Văn Tuấn" sheetId="53" r:id="rId13"/>
    <sheet name="11. Nguyễn Văn Năm" sheetId="54" r:id="rId14"/>
    <sheet name="12. Ngô Thị Hà" sheetId="55" r:id="rId15"/>
  </sheets>
  <externalReferences>
    <externalReference r:id="rId16"/>
  </externalReferences>
  <definedNames>
    <definedName name="_xlnm._FilterDatabase" localSheetId="0" hidden="1">'BTH 12 PA'!$A$6:$AC$21</definedName>
    <definedName name="_xlnm._FilterDatabase" localSheetId="2" hidden="1">'BTH 24 hộ'!$A$6:$AB$33</definedName>
    <definedName name="_xlnm._FilterDatabase" localSheetId="1" hidden="1">'Kèm GM KTNY'!$A$6:$AB$35</definedName>
    <definedName name="_xlnm.Print_Area" localSheetId="3">' 1. Đỗ Văn Dân th13 + th12 t3'!$A$1:$K$74</definedName>
    <definedName name="_xlnm.Print_Area" localSheetId="12">'10. Ngô Văn Tuấn'!$A$1:$K$59</definedName>
    <definedName name="_xlnm.Print_Area" localSheetId="13">'11. Nguyễn Văn Năm'!$A$1:$K$59</definedName>
    <definedName name="_xlnm.Print_Area" localSheetId="14">'12. Ngô Thị Hà'!$A$1:$K$60</definedName>
    <definedName name="_xlnm.Print_Area" localSheetId="7">'5. Lưu Thị Nụ'!$A$1:$K$62</definedName>
    <definedName name="_xlnm.Print_Area" localSheetId="10">'8. Nguyễn Ngọc Kính th18 t1'!$A$1:$K$58</definedName>
    <definedName name="_xlnm.Print_Area" localSheetId="11">'9. Ngô Văn Lẫm'!$A$1:$K$61</definedName>
    <definedName name="_xlnm.Print_Area" localSheetId="0">'BTH 12 PA'!$A$1:$AC$28</definedName>
    <definedName name="_xlnm.Print_Area" localSheetId="1">'Kèm GM KTNY'!$A$1:$AB$35</definedName>
    <definedName name="_xlnm.Print_Titles" localSheetId="0">'BTH 12 PA'!$6:$7</definedName>
    <definedName name="_xlnm.Print_Titles" localSheetId="2">'BTH 24 hộ'!$6:$7</definedName>
    <definedName name="_xlnm.Print_Titles" localSheetId="1">'Kèm GM KTNY'!$6:$7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 i="40" l="1"/>
  <c r="Z8" i="40"/>
  <c r="X8" i="40"/>
  <c r="U8" i="40"/>
  <c r="M9" i="40"/>
  <c r="M21" i="40" s="1"/>
  <c r="V21" i="40"/>
  <c r="W21" i="40"/>
  <c r="L21" i="40"/>
  <c r="K21" i="40"/>
  <c r="Z20" i="40"/>
  <c r="X20" i="40"/>
  <c r="U20" i="40"/>
  <c r="AA20" i="40" s="1"/>
  <c r="R20" i="40"/>
  <c r="N20" i="40"/>
  <c r="Z19" i="40"/>
  <c r="X19" i="40"/>
  <c r="U19" i="40"/>
  <c r="R19" i="40"/>
  <c r="N19" i="40"/>
  <c r="Z18" i="40"/>
  <c r="X18" i="40"/>
  <c r="AA18" i="40" s="1"/>
  <c r="U18" i="40"/>
  <c r="R18" i="40"/>
  <c r="N18" i="40"/>
  <c r="Z17" i="40"/>
  <c r="X17" i="40"/>
  <c r="U17" i="40"/>
  <c r="R17" i="40"/>
  <c r="N17" i="40"/>
  <c r="O59" i="55"/>
  <c r="N59" i="55"/>
  <c r="G57" i="55"/>
  <c r="J57" i="55" s="1"/>
  <c r="K56" i="55"/>
  <c r="H56" i="55"/>
  <c r="G56" i="55"/>
  <c r="J56" i="55" s="1"/>
  <c r="J55" i="55"/>
  <c r="J58" i="55" s="1"/>
  <c r="H55" i="55"/>
  <c r="G55" i="55"/>
  <c r="J52" i="55"/>
  <c r="G47" i="55"/>
  <c r="J47" i="55" s="1"/>
  <c r="G46" i="55"/>
  <c r="J46" i="55" s="1"/>
  <c r="J45" i="55"/>
  <c r="G45" i="55"/>
  <c r="E39" i="55"/>
  <c r="J38" i="55"/>
  <c r="J39" i="55" s="1"/>
  <c r="E38" i="55"/>
  <c r="F33" i="55"/>
  <c r="H32" i="55"/>
  <c r="O58" i="54"/>
  <c r="N58" i="54"/>
  <c r="J56" i="54"/>
  <c r="G56" i="54"/>
  <c r="K55" i="54"/>
  <c r="H55" i="54"/>
  <c r="J55" i="54" s="1"/>
  <c r="G55" i="54"/>
  <c r="H54" i="54"/>
  <c r="G54" i="54"/>
  <c r="J51" i="54"/>
  <c r="D46" i="54"/>
  <c r="G46" i="54" s="1"/>
  <c r="J46" i="54" s="1"/>
  <c r="E39" i="54"/>
  <c r="E40" i="54" s="1"/>
  <c r="F33" i="54"/>
  <c r="H32" i="54"/>
  <c r="O58" i="53"/>
  <c r="N58" i="53"/>
  <c r="G56" i="53"/>
  <c r="J56" i="53" s="1"/>
  <c r="K55" i="53"/>
  <c r="H55" i="53"/>
  <c r="G55" i="53"/>
  <c r="J55" i="53" s="1"/>
  <c r="H54" i="53"/>
  <c r="G54" i="53"/>
  <c r="J51" i="53"/>
  <c r="D46" i="53"/>
  <c r="G46" i="53" s="1"/>
  <c r="J46" i="53" s="1"/>
  <c r="E39" i="53"/>
  <c r="E40" i="53" s="1"/>
  <c r="F33" i="53"/>
  <c r="L32" i="53"/>
  <c r="H32" i="53"/>
  <c r="O60" i="52"/>
  <c r="N60" i="52"/>
  <c r="K57" i="52" s="1"/>
  <c r="G58" i="52"/>
  <c r="J58" i="52" s="1"/>
  <c r="H57" i="52"/>
  <c r="G57" i="52"/>
  <c r="H56" i="52"/>
  <c r="G56" i="52"/>
  <c r="J56" i="52" s="1"/>
  <c r="J53" i="52"/>
  <c r="G48" i="52"/>
  <c r="J48" i="52" s="1"/>
  <c r="G47" i="52"/>
  <c r="J47" i="52" s="1"/>
  <c r="G46" i="52"/>
  <c r="J46" i="52" s="1"/>
  <c r="E40" i="52"/>
  <c r="E39" i="52"/>
  <c r="J39" i="52" s="1"/>
  <c r="J40" i="52" s="1"/>
  <c r="F33" i="52"/>
  <c r="L32" i="52"/>
  <c r="H32" i="52"/>
  <c r="C59" i="54"/>
  <c r="C65" i="48"/>
  <c r="C69" i="42"/>
  <c r="C60" i="55"/>
  <c r="C58" i="51"/>
  <c r="C59" i="53"/>
  <c r="C65" i="50"/>
  <c r="C74" i="3"/>
  <c r="C59" i="45"/>
  <c r="C61" i="44"/>
  <c r="C62" i="47"/>
  <c r="C61" i="52"/>
  <c r="J57" i="52" l="1"/>
  <c r="J54" i="53"/>
  <c r="J57" i="53" s="1"/>
  <c r="J54" i="54"/>
  <c r="AA19" i="40"/>
  <c r="AA17" i="40"/>
  <c r="J59" i="52"/>
  <c r="G60" i="52" s="1"/>
  <c r="G59" i="55"/>
  <c r="J57" i="54"/>
  <c r="J39" i="54"/>
  <c r="J40" i="54" s="1"/>
  <c r="G58" i="54" s="1"/>
  <c r="J39" i="53"/>
  <c r="J40" i="53" s="1"/>
  <c r="G58" i="53" l="1"/>
  <c r="Z16" i="40"/>
  <c r="X16" i="40"/>
  <c r="U16" i="40"/>
  <c r="R16" i="40"/>
  <c r="N16" i="40"/>
  <c r="O57" i="51"/>
  <c r="N57" i="51"/>
  <c r="K54" i="51" s="1"/>
  <c r="G55" i="51"/>
  <c r="J55" i="51" s="1"/>
  <c r="J54" i="51"/>
  <c r="Y16" i="40" s="1"/>
  <c r="H53" i="51"/>
  <c r="G53" i="51"/>
  <c r="J50" i="51"/>
  <c r="E40" i="51"/>
  <c r="E41" i="51" s="1"/>
  <c r="F35" i="51"/>
  <c r="F32" i="51"/>
  <c r="J53" i="51" l="1"/>
  <c r="AA16" i="40"/>
  <c r="J56" i="51"/>
  <c r="J40" i="51"/>
  <c r="J41" i="51" s="1"/>
  <c r="G57" i="51" s="1"/>
  <c r="H34" i="51"/>
  <c r="J57" i="44" l="1"/>
  <c r="J61" i="50" l="1"/>
  <c r="J61" i="48"/>
  <c r="J58" i="47"/>
  <c r="J55" i="45"/>
  <c r="J65" i="42"/>
  <c r="Y15" i="40" l="1"/>
  <c r="Y14" i="40"/>
  <c r="Y13" i="40"/>
  <c r="Y12" i="40"/>
  <c r="Y11" i="40"/>
  <c r="Y10" i="40"/>
  <c r="F30" i="3" l="1"/>
  <c r="E36" i="3" s="1"/>
  <c r="F29" i="3"/>
  <c r="F31" i="3" s="1"/>
  <c r="N73" i="3" l="1"/>
  <c r="H27" i="3" s="1"/>
  <c r="G71" i="3"/>
  <c r="G69" i="3"/>
  <c r="K70" i="3" l="1"/>
  <c r="R8" i="40"/>
  <c r="R13" i="40"/>
  <c r="R11" i="40"/>
  <c r="R12" i="40"/>
  <c r="R14" i="40"/>
  <c r="R15" i="40"/>
  <c r="R10" i="40"/>
  <c r="N61" i="47" l="1"/>
  <c r="J70" i="3"/>
  <c r="Y8" i="40" s="1"/>
  <c r="AA8" i="40" l="1"/>
  <c r="Y21" i="40"/>
  <c r="X10" i="40"/>
  <c r="U10" i="40"/>
  <c r="U11" i="40"/>
  <c r="U12" i="40"/>
  <c r="U13" i="40"/>
  <c r="U14" i="40"/>
  <c r="Z10" i="40"/>
  <c r="Z11" i="40"/>
  <c r="Z12" i="40"/>
  <c r="G46" i="50"/>
  <c r="J46" i="50" s="1"/>
  <c r="G45" i="50"/>
  <c r="J45" i="50" s="1"/>
  <c r="F32" i="47"/>
  <c r="O64" i="50"/>
  <c r="N64" i="50"/>
  <c r="H30" i="50" s="1"/>
  <c r="G62" i="50"/>
  <c r="J62" i="50" s="1"/>
  <c r="H60" i="50"/>
  <c r="G60" i="50"/>
  <c r="J55" i="50"/>
  <c r="J54" i="50"/>
  <c r="J53" i="50"/>
  <c r="J52" i="50"/>
  <c r="J51" i="50"/>
  <c r="J50" i="50"/>
  <c r="G44" i="50"/>
  <c r="J44" i="50" s="1"/>
  <c r="E37" i="50"/>
  <c r="J37" i="50" s="1"/>
  <c r="J38" i="50" s="1"/>
  <c r="F31" i="50"/>
  <c r="N10" i="40"/>
  <c r="N11" i="40"/>
  <c r="N12" i="40"/>
  <c r="N13" i="40"/>
  <c r="N14" i="40"/>
  <c r="N15" i="40"/>
  <c r="AA10" i="40" l="1"/>
  <c r="J60" i="50"/>
  <c r="J47" i="50"/>
  <c r="J56" i="50"/>
  <c r="J57" i="50" s="1"/>
  <c r="E38" i="50"/>
  <c r="J63" i="50"/>
  <c r="Z13" i="40"/>
  <c r="Z14" i="40"/>
  <c r="Z15" i="40"/>
  <c r="X11" i="40"/>
  <c r="AA11" i="40" s="1"/>
  <c r="X12" i="40"/>
  <c r="AA12" i="40" s="1"/>
  <c r="X13" i="40"/>
  <c r="X14" i="40"/>
  <c r="X15" i="40"/>
  <c r="U15" i="40"/>
  <c r="Z21" i="40" l="1"/>
  <c r="AA15" i="40"/>
  <c r="AA14" i="40"/>
  <c r="AA13" i="40"/>
  <c r="AA21" i="40" s="1"/>
  <c r="X21" i="40"/>
  <c r="U21" i="40"/>
  <c r="G64" i="50"/>
  <c r="J54" i="48" l="1"/>
  <c r="J53" i="48"/>
  <c r="J49" i="48"/>
  <c r="J50" i="48"/>
  <c r="J51" i="48"/>
  <c r="J52" i="48"/>
  <c r="O64" i="48"/>
  <c r="N64" i="48"/>
  <c r="G62" i="48"/>
  <c r="J62" i="48" s="1"/>
  <c r="H60" i="48"/>
  <c r="G60" i="48"/>
  <c r="J55" i="48"/>
  <c r="J48" i="48"/>
  <c r="G44" i="48"/>
  <c r="E37" i="48"/>
  <c r="J37" i="48" s="1"/>
  <c r="J38" i="48" s="1"/>
  <c r="F31" i="48"/>
  <c r="J50" i="47"/>
  <c r="J51" i="47"/>
  <c r="J52" i="47"/>
  <c r="O61" i="47"/>
  <c r="H31" i="47"/>
  <c r="G59" i="47"/>
  <c r="J59" i="47" s="1"/>
  <c r="H57" i="47"/>
  <c r="G57" i="47"/>
  <c r="J49" i="47"/>
  <c r="E39" i="47"/>
  <c r="E40" i="47" s="1"/>
  <c r="O58" i="45"/>
  <c r="N58" i="45"/>
  <c r="H30" i="45" s="1"/>
  <c r="G56" i="45"/>
  <c r="J56" i="45" s="1"/>
  <c r="H54" i="45"/>
  <c r="G54" i="45"/>
  <c r="J54" i="45" s="1"/>
  <c r="J49" i="45"/>
  <c r="J48" i="45"/>
  <c r="J47" i="45"/>
  <c r="E37" i="45"/>
  <c r="E38" i="45" s="1"/>
  <c r="F31" i="45"/>
  <c r="J50" i="44"/>
  <c r="J51" i="44"/>
  <c r="G43" i="44"/>
  <c r="G45" i="42"/>
  <c r="J45" i="42" s="1"/>
  <c r="G46" i="42"/>
  <c r="J46" i="42" s="1"/>
  <c r="G47" i="42"/>
  <c r="J47" i="42" s="1"/>
  <c r="G48" i="42"/>
  <c r="J48" i="42" s="1"/>
  <c r="G44" i="42"/>
  <c r="J44" i="42" s="1"/>
  <c r="O60" i="44"/>
  <c r="N60" i="44"/>
  <c r="G58" i="44"/>
  <c r="J58" i="44" s="1"/>
  <c r="H56" i="44"/>
  <c r="G56" i="44"/>
  <c r="J49" i="44"/>
  <c r="J48" i="44"/>
  <c r="J47" i="44"/>
  <c r="E36" i="44"/>
  <c r="J36" i="44" s="1"/>
  <c r="J37" i="44" s="1"/>
  <c r="F31" i="44"/>
  <c r="J60" i="48" l="1"/>
  <c r="E38" i="48"/>
  <c r="J44" i="48"/>
  <c r="J45" i="48" s="1"/>
  <c r="J43" i="44"/>
  <c r="J44" i="44" s="1"/>
  <c r="H30" i="48"/>
  <c r="J57" i="47"/>
  <c r="J60" i="47" s="1"/>
  <c r="J49" i="42"/>
  <c r="J56" i="48"/>
  <c r="J63" i="48"/>
  <c r="J53" i="47"/>
  <c r="J54" i="47" s="1"/>
  <c r="J39" i="47"/>
  <c r="J40" i="47" s="1"/>
  <c r="J50" i="45"/>
  <c r="J51" i="45" s="1"/>
  <c r="J57" i="45"/>
  <c r="J37" i="45"/>
  <c r="J38" i="45" s="1"/>
  <c r="J56" i="44"/>
  <c r="J59" i="44" s="1"/>
  <c r="E37" i="44"/>
  <c r="H30" i="44"/>
  <c r="J52" i="44"/>
  <c r="O68" i="42"/>
  <c r="N68" i="42"/>
  <c r="G66" i="42"/>
  <c r="J66" i="42" s="1"/>
  <c r="H64" i="42"/>
  <c r="G64" i="42"/>
  <c r="J64" i="42" s="1"/>
  <c r="J59" i="42"/>
  <c r="J58" i="42"/>
  <c r="J57" i="42"/>
  <c r="J56" i="42"/>
  <c r="J55" i="42"/>
  <c r="J54" i="42"/>
  <c r="J53" i="42"/>
  <c r="J52" i="42"/>
  <c r="E37" i="42"/>
  <c r="E38" i="42" s="1"/>
  <c r="F31" i="42"/>
  <c r="J58" i="3"/>
  <c r="J59" i="3"/>
  <c r="J60" i="3"/>
  <c r="J61" i="3"/>
  <c r="J62" i="3"/>
  <c r="J63" i="3"/>
  <c r="J64" i="3"/>
  <c r="J52" i="3"/>
  <c r="J53" i="3"/>
  <c r="J54" i="3"/>
  <c r="J48" i="3"/>
  <c r="J49" i="3"/>
  <c r="J50" i="3"/>
  <c r="J51" i="3"/>
  <c r="J55" i="3"/>
  <c r="J56" i="3"/>
  <c r="J57" i="3"/>
  <c r="J47" i="3"/>
  <c r="J57" i="48" l="1"/>
  <c r="J53" i="44"/>
  <c r="G60" i="44" s="1"/>
  <c r="J65" i="3"/>
  <c r="J67" i="42"/>
  <c r="H30" i="42"/>
  <c r="G64" i="48"/>
  <c r="G61" i="47"/>
  <c r="J37" i="42"/>
  <c r="J38" i="42" s="1"/>
  <c r="J60" i="42"/>
  <c r="J61" i="42" s="1"/>
  <c r="N8" i="40"/>
  <c r="N21" i="40" s="1"/>
  <c r="G68" i="42" l="1"/>
  <c r="L34" i="39" l="1"/>
  <c r="K34" i="39"/>
  <c r="M34" i="39" s="1"/>
  <c r="L33" i="39"/>
  <c r="K33" i="39"/>
  <c r="L32" i="39"/>
  <c r="L31" i="39" s="1"/>
  <c r="K32" i="39"/>
  <c r="Z31" i="39"/>
  <c r="Y31" i="39"/>
  <c r="X30" i="39"/>
  <c r="W30" i="39"/>
  <c r="V30" i="39"/>
  <c r="Y30" i="39" s="1"/>
  <c r="S30" i="39"/>
  <c r="P30" i="39"/>
  <c r="M30" i="39"/>
  <c r="X29" i="39"/>
  <c r="V29" i="39"/>
  <c r="S29" i="39"/>
  <c r="P29" i="39"/>
  <c r="W29" i="39" s="1"/>
  <c r="Y29" i="39" s="1"/>
  <c r="M29" i="39"/>
  <c r="X28" i="39"/>
  <c r="V28" i="39"/>
  <c r="S28" i="39"/>
  <c r="P28" i="39"/>
  <c r="W28" i="39" s="1"/>
  <c r="Y28" i="39" s="1"/>
  <c r="Z28" i="39" s="1"/>
  <c r="M28" i="39"/>
  <c r="X27" i="39"/>
  <c r="V27" i="39"/>
  <c r="S27" i="39"/>
  <c r="P27" i="39"/>
  <c r="W27" i="39" s="1"/>
  <c r="M27" i="39"/>
  <c r="X26" i="39"/>
  <c r="V26" i="39"/>
  <c r="S26" i="39"/>
  <c r="P26" i="39"/>
  <c r="W26" i="39" s="1"/>
  <c r="Y26" i="39" s="1"/>
  <c r="M26" i="39"/>
  <c r="X25" i="39"/>
  <c r="V25" i="39"/>
  <c r="S25" i="39"/>
  <c r="P25" i="39"/>
  <c r="W25" i="39" s="1"/>
  <c r="M25" i="39"/>
  <c r="X24" i="39"/>
  <c r="V24" i="39"/>
  <c r="S24" i="39"/>
  <c r="P24" i="39"/>
  <c r="W24" i="39" s="1"/>
  <c r="M24" i="39"/>
  <c r="X23" i="39"/>
  <c r="V23" i="39"/>
  <c r="S23" i="39"/>
  <c r="P23" i="39"/>
  <c r="W23" i="39" s="1"/>
  <c r="M23" i="39"/>
  <c r="X22" i="39"/>
  <c r="V22" i="39"/>
  <c r="S22" i="39"/>
  <c r="P22" i="39"/>
  <c r="W22" i="39" s="1"/>
  <c r="M22" i="39"/>
  <c r="X21" i="39"/>
  <c r="V21" i="39"/>
  <c r="S21" i="39"/>
  <c r="P21" i="39"/>
  <c r="W21" i="39" s="1"/>
  <c r="M21" i="39"/>
  <c r="X20" i="39"/>
  <c r="V20" i="39"/>
  <c r="S20" i="39"/>
  <c r="P20" i="39"/>
  <c r="W20" i="39" s="1"/>
  <c r="M20" i="39"/>
  <c r="X19" i="39"/>
  <c r="V19" i="39"/>
  <c r="S19" i="39"/>
  <c r="P19" i="39"/>
  <c r="W19" i="39" s="1"/>
  <c r="Y19" i="39" s="1"/>
  <c r="Z19" i="39" s="1"/>
  <c r="M19" i="39"/>
  <c r="X18" i="39"/>
  <c r="V18" i="39"/>
  <c r="S18" i="39"/>
  <c r="P18" i="39"/>
  <c r="W18" i="39" s="1"/>
  <c r="M18" i="39"/>
  <c r="X17" i="39"/>
  <c r="V17" i="39"/>
  <c r="S17" i="39"/>
  <c r="P17" i="39"/>
  <c r="W17" i="39" s="1"/>
  <c r="M17" i="39"/>
  <c r="X16" i="39"/>
  <c r="V16" i="39"/>
  <c r="S16" i="39"/>
  <c r="P16" i="39"/>
  <c r="W16" i="39" s="1"/>
  <c r="Y16" i="39" s="1"/>
  <c r="Z16" i="39" s="1"/>
  <c r="M16" i="39"/>
  <c r="X15" i="39"/>
  <c r="V15" i="39"/>
  <c r="S15" i="39"/>
  <c r="P15" i="39"/>
  <c r="W15" i="39" s="1"/>
  <c r="M15" i="39"/>
  <c r="X14" i="39"/>
  <c r="V14" i="39"/>
  <c r="S14" i="39"/>
  <c r="P14" i="39"/>
  <c r="W14" i="39" s="1"/>
  <c r="M14" i="39"/>
  <c r="X13" i="39"/>
  <c r="V13" i="39"/>
  <c r="S13" i="39"/>
  <c r="P13" i="39"/>
  <c r="W13" i="39" s="1"/>
  <c r="M13" i="39"/>
  <c r="X12" i="39"/>
  <c r="V12" i="39"/>
  <c r="S12" i="39"/>
  <c r="P12" i="39"/>
  <c r="W12" i="39" s="1"/>
  <c r="M12" i="39"/>
  <c r="X11" i="39"/>
  <c r="V11" i="39"/>
  <c r="S11" i="39"/>
  <c r="P11" i="39"/>
  <c r="W11" i="39" s="1"/>
  <c r="M11" i="39"/>
  <c r="X10" i="39"/>
  <c r="V10" i="39"/>
  <c r="S10" i="39"/>
  <c r="P10" i="39"/>
  <c r="W10" i="39" s="1"/>
  <c r="Y10" i="39" s="1"/>
  <c r="M10" i="39"/>
  <c r="X9" i="39"/>
  <c r="V9" i="39"/>
  <c r="S9" i="39"/>
  <c r="P9" i="39"/>
  <c r="W9" i="39" s="1"/>
  <c r="M9" i="39"/>
  <c r="L8" i="39"/>
  <c r="K8" i="39"/>
  <c r="Y20" i="39" l="1"/>
  <c r="Y12" i="39"/>
  <c r="Y17" i="39"/>
  <c r="L35" i="39"/>
  <c r="Y21" i="39"/>
  <c r="Y13" i="39"/>
  <c r="Z13" i="39" s="1"/>
  <c r="Y25" i="39"/>
  <c r="Z25" i="39" s="1"/>
  <c r="Y11" i="39"/>
  <c r="Z11" i="39" s="1"/>
  <c r="Y15" i="39"/>
  <c r="Z15" i="39" s="1"/>
  <c r="Y22" i="39"/>
  <c r="Z22" i="39" s="1"/>
  <c r="Y24" i="39"/>
  <c r="Z24" i="39" s="1"/>
  <c r="S8" i="39"/>
  <c r="S35" i="39" s="1"/>
  <c r="Y18" i="39"/>
  <c r="Z18" i="39" s="1"/>
  <c r="V8" i="39"/>
  <c r="V35" i="39" s="1"/>
  <c r="M8" i="39"/>
  <c r="Y23" i="39"/>
  <c r="Z23" i="39" s="1"/>
  <c r="X8" i="39"/>
  <c r="X35" i="39" s="1"/>
  <c r="Y14" i="39"/>
  <c r="Z14" i="39" s="1"/>
  <c r="Z12" i="39"/>
  <c r="Z21" i="39"/>
  <c r="Z30" i="39"/>
  <c r="K31" i="39"/>
  <c r="K35" i="39" s="1"/>
  <c r="Z17" i="39"/>
  <c r="Z26" i="39"/>
  <c r="Z20" i="39"/>
  <c r="Z29" i="39"/>
  <c r="W8" i="39"/>
  <c r="W35" i="39" s="1"/>
  <c r="Y27" i="39"/>
  <c r="Z27" i="39" s="1"/>
  <c r="M33" i="39"/>
  <c r="Y9" i="39"/>
  <c r="M32" i="39"/>
  <c r="M31" i="39" l="1"/>
  <c r="M35" i="39" s="1"/>
  <c r="Y8" i="39"/>
  <c r="Y35" i="39" s="1"/>
  <c r="L33" i="1" l="1"/>
  <c r="K33" i="1"/>
  <c r="X9" i="1"/>
  <c r="X10" i="1"/>
  <c r="X11" i="1"/>
  <c r="X12" i="1"/>
  <c r="X13" i="1"/>
  <c r="X14" i="1"/>
  <c r="X15" i="1"/>
  <c r="X16" i="1"/>
  <c r="X17" i="1"/>
  <c r="X18" i="1"/>
  <c r="X19" i="1"/>
  <c r="X20" i="1"/>
  <c r="X21" i="1"/>
  <c r="X22" i="1"/>
  <c r="X23" i="1"/>
  <c r="X24" i="1"/>
  <c r="X25" i="1"/>
  <c r="X26" i="1"/>
  <c r="X27" i="1"/>
  <c r="X28" i="1"/>
  <c r="X29" i="1"/>
  <c r="X30" i="1"/>
  <c r="X31" i="1"/>
  <c r="X32" i="1"/>
  <c r="X8" i="1"/>
  <c r="P9" i="1"/>
  <c r="W9" i="1" s="1"/>
  <c r="P10" i="1"/>
  <c r="W10" i="1" s="1"/>
  <c r="P11" i="1"/>
  <c r="W11" i="1" s="1"/>
  <c r="P12" i="1"/>
  <c r="W12" i="1" s="1"/>
  <c r="P13" i="1"/>
  <c r="W13" i="1" s="1"/>
  <c r="P14" i="1"/>
  <c r="W14" i="1" s="1"/>
  <c r="P15" i="1"/>
  <c r="W15" i="1" s="1"/>
  <c r="P16" i="1"/>
  <c r="W16" i="1" s="1"/>
  <c r="P17" i="1"/>
  <c r="W17" i="1" s="1"/>
  <c r="P18" i="1"/>
  <c r="W18" i="1" s="1"/>
  <c r="P19" i="1"/>
  <c r="W19" i="1" s="1"/>
  <c r="P20" i="1"/>
  <c r="W20" i="1" s="1"/>
  <c r="P21" i="1"/>
  <c r="W21" i="1" s="1"/>
  <c r="P22" i="1"/>
  <c r="W22" i="1" s="1"/>
  <c r="P23" i="1"/>
  <c r="W23" i="1" s="1"/>
  <c r="P24" i="1"/>
  <c r="W24" i="1" s="1"/>
  <c r="P25" i="1"/>
  <c r="W25" i="1" s="1"/>
  <c r="P26" i="1"/>
  <c r="W26" i="1" s="1"/>
  <c r="P27" i="1"/>
  <c r="W27" i="1" s="1"/>
  <c r="P28" i="1"/>
  <c r="W28" i="1" s="1"/>
  <c r="P29" i="1"/>
  <c r="W29" i="1" s="1"/>
  <c r="P30" i="1"/>
  <c r="W30" i="1" s="1"/>
  <c r="P31" i="1"/>
  <c r="W31" i="1" s="1"/>
  <c r="P32" i="1"/>
  <c r="W32" i="1" s="1"/>
  <c r="P8" i="1"/>
  <c r="W8" i="1" s="1"/>
  <c r="V9" i="1"/>
  <c r="V10" i="1"/>
  <c r="V11" i="1"/>
  <c r="V12" i="1"/>
  <c r="V13" i="1"/>
  <c r="Y13" i="1" s="1"/>
  <c r="V14" i="1"/>
  <c r="V15" i="1"/>
  <c r="V16" i="1"/>
  <c r="V17" i="1"/>
  <c r="V18" i="1"/>
  <c r="V19" i="1"/>
  <c r="V20" i="1"/>
  <c r="V21" i="1"/>
  <c r="V22" i="1"/>
  <c r="V23" i="1"/>
  <c r="V24" i="1"/>
  <c r="V25" i="1"/>
  <c r="V26" i="1"/>
  <c r="V27" i="1"/>
  <c r="V28" i="1"/>
  <c r="V29" i="1"/>
  <c r="V30" i="1"/>
  <c r="V31" i="1"/>
  <c r="V32" i="1"/>
  <c r="V8" i="1"/>
  <c r="S9" i="1"/>
  <c r="S10" i="1"/>
  <c r="S11" i="1"/>
  <c r="S12" i="1"/>
  <c r="S13" i="1"/>
  <c r="S14" i="1"/>
  <c r="S15" i="1"/>
  <c r="S16" i="1"/>
  <c r="S17" i="1"/>
  <c r="S18" i="1"/>
  <c r="S19" i="1"/>
  <c r="S20" i="1"/>
  <c r="S21" i="1"/>
  <c r="S22" i="1"/>
  <c r="S23" i="1"/>
  <c r="S24" i="1"/>
  <c r="S25" i="1"/>
  <c r="S26" i="1"/>
  <c r="S27" i="1"/>
  <c r="S28" i="1"/>
  <c r="S29" i="1"/>
  <c r="S30" i="1"/>
  <c r="S31" i="1"/>
  <c r="S32" i="1"/>
  <c r="S8" i="1"/>
  <c r="S33" i="1" l="1"/>
  <c r="V33" i="1"/>
  <c r="X33" i="1"/>
  <c r="Y25" i="1"/>
  <c r="W33" i="1"/>
  <c r="Y20" i="1"/>
  <c r="Y28" i="1"/>
  <c r="Y27" i="1"/>
  <c r="Z27" i="1" s="1"/>
  <c r="Y15" i="1"/>
  <c r="Z15" i="1" s="1"/>
  <c r="Y16" i="1"/>
  <c r="Z16" i="1" s="1"/>
  <c r="Y32" i="1"/>
  <c r="Z32" i="1" s="1"/>
  <c r="Z28" i="1"/>
  <c r="Y29" i="1"/>
  <c r="Z29" i="1" s="1"/>
  <c r="Y17" i="1"/>
  <c r="Z17" i="1" s="1"/>
  <c r="Y24" i="1"/>
  <c r="Z24" i="1" s="1"/>
  <c r="Y23" i="1"/>
  <c r="Z23" i="1" s="1"/>
  <c r="Y11" i="1"/>
  <c r="Z11" i="1" s="1"/>
  <c r="Y12" i="1"/>
  <c r="Z12" i="1" s="1"/>
  <c r="Z20" i="1"/>
  <c r="Y22" i="1"/>
  <c r="Z22" i="1" s="1"/>
  <c r="Y10" i="1"/>
  <c r="Z31" i="1"/>
  <c r="Y8" i="1"/>
  <c r="Y21" i="1"/>
  <c r="Z21" i="1" s="1"/>
  <c r="Y9" i="1"/>
  <c r="Y31" i="1"/>
  <c r="Y19" i="1"/>
  <c r="Z19" i="1" s="1"/>
  <c r="Y26" i="1"/>
  <c r="Z26" i="1" s="1"/>
  <c r="Y14" i="1"/>
  <c r="Z14" i="1" s="1"/>
  <c r="Y30" i="1"/>
  <c r="Z30" i="1" s="1"/>
  <c r="Y18" i="1"/>
  <c r="Z18" i="1" s="1"/>
  <c r="Z25" i="1"/>
  <c r="Z13" i="1"/>
  <c r="Z10" i="1" l="1"/>
  <c r="Y33" i="1"/>
  <c r="O33" i="1"/>
  <c r="T9" i="39" l="1"/>
  <c r="J71" i="3"/>
  <c r="O73" i="3"/>
  <c r="H69" i="3"/>
  <c r="U10" i="39" l="1"/>
  <c r="T10" i="39"/>
  <c r="U9" i="1"/>
  <c r="T9" i="1"/>
  <c r="T8" i="1"/>
  <c r="U9" i="39"/>
  <c r="Z9" i="39" s="1"/>
  <c r="J69" i="3"/>
  <c r="J72" i="3" s="1"/>
  <c r="U8" i="39" l="1"/>
  <c r="U35" i="39" s="1"/>
  <c r="Z9" i="1"/>
  <c r="T8" i="39"/>
  <c r="T35" i="39" s="1"/>
  <c r="Z10" i="39"/>
  <c r="Z8" i="39" s="1"/>
  <c r="Z35" i="39" s="1"/>
  <c r="K37" i="39" s="1"/>
  <c r="K38" i="39" s="1"/>
  <c r="K39" i="39" s="1"/>
  <c r="T33" i="1"/>
  <c r="J66" i="3"/>
  <c r="U8" i="1"/>
  <c r="U33" i="1" s="1"/>
  <c r="Z8" i="1" l="1"/>
  <c r="Z33" i="1" s="1"/>
  <c r="M10" i="1"/>
  <c r="M33" i="1" s="1"/>
  <c r="G58" i="45"/>
  <c r="L24" i="40" l="1"/>
  <c r="L25" i="40" l="1"/>
  <c r="L26" i="40" s="1"/>
  <c r="E38" i="3"/>
  <c r="D27" i="40"/>
  <c r="J36" i="3" l="1"/>
  <c r="J38" i="3" s="1"/>
  <c r="G73" i="3" s="1"/>
  <c r="AD21" i="40" s="1"/>
  <c r="AE25" i="40" l="1"/>
  <c r="AC35" i="39"/>
  <c r="AD35" i="39" s="1"/>
  <c r="J44" i="45"/>
  <c r="J46" i="47"/>
</calcChain>
</file>

<file path=xl/sharedStrings.xml><?xml version="1.0" encoding="utf-8"?>
<sst xmlns="http://schemas.openxmlformats.org/spreadsheetml/2006/main" count="2087" uniqueCount="496">
  <si>
    <t>CỘNG HÒA XÃ HỘI CHỦ NGHĨA VIỆT NAM
Độc lập - Tự do - Hạnh phúc</t>
  </si>
  <si>
    <t>Số TT</t>
  </si>
  <si>
    <t>Họ và tên Chủ sử dụng</t>
  </si>
  <si>
    <t>Địa chỉ thường trú</t>
  </si>
  <si>
    <t>Xứ đồng</t>
  </si>
  <si>
    <t>Thông tin theo bản đồ phục vụ GPMB</t>
  </si>
  <si>
    <t>Ghi chú</t>
  </si>
  <si>
    <t>Số tờ</t>
  </si>
  <si>
    <t xml:space="preserve">Số thửa </t>
  </si>
  <si>
    <t>Tổng diện tích (m2)</t>
  </si>
  <si>
    <t>DT thu hồi (m2)</t>
  </si>
  <si>
    <t>DT còn lại (m2)</t>
  </si>
  <si>
    <t>Loại đất</t>
  </si>
  <si>
    <t>Hộ ông Lê Văn Thắng</t>
  </si>
  <si>
    <t>Thôn Giang Triều</t>
  </si>
  <si>
    <t>Đồng Trỗ Nhôi</t>
  </si>
  <si>
    <t>LUC</t>
  </si>
  <si>
    <t>Hộ bà Nguyễn Thị Kim Oanh</t>
  </si>
  <si>
    <t xml:space="preserve"> (53 hộ gia đình cá nhân, có danh sách kèm theo), người đại diện là  Ông Tạ Quang Phú</t>
  </si>
  <si>
    <t>Hộ ông Lê Văn Lai (ông Lai đã chết) người đại diện là bà Trần Thị Chung</t>
  </si>
  <si>
    <t>Hộ ông Lê Văn Bích</t>
  </si>
  <si>
    <t>Hộ ông Lê Văn Minh</t>
  </si>
  <si>
    <t>Hộ ông Lê Văn Tư</t>
  </si>
  <si>
    <t>Hộ ông Trần Văn Bắc</t>
  </si>
  <si>
    <t xml:space="preserve"> Hộ ông Trần Văn Khắc (ông Khắc đã chết) người đại diện là ông Trần Văn Học</t>
  </si>
  <si>
    <t>Hộ ông Nguyễn Văn Đồi (ông Đồi đã chết), người đại diện là bà Nguyễn Thị Chương</t>
  </si>
  <si>
    <t>Hộ bà Nguyễn Thị Tiến</t>
  </si>
  <si>
    <t xml:space="preserve"> 65 hộ gia đình, cá nhân, người đại diện là bà Đỗ Thị Tín (có danh sách kèm theo)</t>
  </si>
  <si>
    <t>Hộ ông Lê Văn Cảnh</t>
  </si>
  <si>
    <t>Đồng Ông Voi Trên</t>
  </si>
  <si>
    <t>Hộ ông Nguyễn Văn Vinh</t>
  </si>
  <si>
    <t>Hộ ông Nguyễn Văn Hùng</t>
  </si>
  <si>
    <t>Đồng Ông Voi Dưới</t>
  </si>
  <si>
    <t>Hộ bà Tạ Thị Nhiễu</t>
  </si>
  <si>
    <t>Hộ ông Nguyễn Văn Tần</t>
  </si>
  <si>
    <t>Hộ ông Nguyễn Văn Vanh</t>
  </si>
  <si>
    <t>Hộ ông Nguyễn Văn Thật (ông Thật đã chết) người đại diện là bà Nguyễn Thị Lứu</t>
  </si>
  <si>
    <t>Đồng Lữu</t>
  </si>
  <si>
    <t>Hộ ông Nguyễn Xuân Xiêm</t>
  </si>
  <si>
    <t>Hộ ông Nguyễn Văn Thạo</t>
  </si>
  <si>
    <t>Hộ ông Nguyễn Văn Thành</t>
  </si>
  <si>
    <t>Tổng</t>
  </si>
  <si>
    <r>
      <rPr>
        <sz val="14"/>
        <color theme="1"/>
        <rFont val="Times New Roman"/>
        <family val="1"/>
      </rPr>
      <t>UBND HUYỆN ỨNG HÒA</t>
    </r>
    <r>
      <rPr>
        <b/>
        <sz val="14"/>
        <color theme="1"/>
        <rFont val="Times New Roman"/>
        <family val="1"/>
      </rPr>
      <t xml:space="preserve">
TRUNG TÂM PT QUỸ ĐẤT</t>
    </r>
  </si>
  <si>
    <t xml:space="preserve">               (Kèm theo Giấy mời số:            /GM-PTQĐ ngày         /      /2025 của UBND huyện Ứng Hòa)</t>
  </si>
  <si>
    <t>Ngày kiểm đếm dự kiến
(tại thực địa)</t>
  </si>
  <si>
    <t>Sáng ngày 12/02/2025</t>
  </si>
  <si>
    <t>Chiều ngày 12/02/2025</t>
  </si>
  <si>
    <t>Sáng ngày 13/02/2025</t>
  </si>
  <si>
    <t>Chiều ngày 13/02/2025</t>
  </si>
  <si>
    <t>Sáng ngày 14/02/2025</t>
  </si>
  <si>
    <t>Chiều ngày 14/02/2025</t>
  </si>
  <si>
    <t>Sáng ngày 15/02/2025</t>
  </si>
  <si>
    <t>Chiều ngày 15/02/2025</t>
  </si>
  <si>
    <t>Hộ ông Lê Anh Xuân (ông Xuân đã chết) người đại diện là bà Nguyễn Thị Thanh</t>
  </si>
  <si>
    <t>SĐT</t>
  </si>
  <si>
    <t>CCCD</t>
  </si>
  <si>
    <t>Ngày cấp</t>
  </si>
  <si>
    <t>0981612528</t>
  </si>
  <si>
    <t>0369055253</t>
  </si>
  <si>
    <t>0984578963</t>
  </si>
  <si>
    <t>0359135538</t>
  </si>
  <si>
    <t>0385405163</t>
  </si>
  <si>
    <t>0337721341</t>
  </si>
  <si>
    <t>0385289658</t>
  </si>
  <si>
    <t>0327643510</t>
  </si>
  <si>
    <t>0373596893</t>
  </si>
  <si>
    <t>0348241896</t>
  </si>
  <si>
    <t>0339205851</t>
  </si>
  <si>
    <t>0320845446</t>
  </si>
  <si>
    <t>0354626820</t>
  </si>
  <si>
    <t>0868948318</t>
  </si>
  <si>
    <t>Hộ ông Nguyễn Mạnh Hưng</t>
  </si>
  <si>
    <t>0869364809</t>
  </si>
  <si>
    <t>0978700553</t>
  </si>
  <si>
    <t>0973044526</t>
  </si>
  <si>
    <t>0978994838</t>
  </si>
  <si>
    <t>001160017419</t>
  </si>
  <si>
    <t>10/05/2021</t>
  </si>
  <si>
    <t>001151010705</t>
  </si>
  <si>
    <t>09/05/2021</t>
  </si>
  <si>
    <t>001080029798</t>
  </si>
  <si>
    <t>24/07/2021</t>
  </si>
  <si>
    <t>001076070245</t>
  </si>
  <si>
    <t>24/06/2021</t>
  </si>
  <si>
    <t>001057018396</t>
  </si>
  <si>
    <t>29/03/2021</t>
  </si>
  <si>
    <t>001076065221</t>
  </si>
  <si>
    <t>001064009308</t>
  </si>
  <si>
    <t>09/08/2024</t>
  </si>
  <si>
    <t>Hộ ông Trần Văn Đễ (đã chết) người đại diện là bà Lê Thị Nguyệt</t>
  </si>
  <si>
    <t>001155009176</t>
  </si>
  <si>
    <t>001030003948</t>
  </si>
  <si>
    <t>08/12/2021</t>
  </si>
  <si>
    <t>001047006147</t>
  </si>
  <si>
    <t>001061011064</t>
  </si>
  <si>
    <t>Họ và tên người đang quản lý</t>
  </si>
  <si>
    <t>Ông Tạ Quang Phú</t>
  </si>
  <si>
    <t>Bà Trần Thị Chung</t>
  </si>
  <si>
    <t>Ông Trần Văn Học</t>
  </si>
  <si>
    <t>Bà Nguyễn Thị Chương</t>
  </si>
  <si>
    <t>Bà Đỗ Thị Tín</t>
  </si>
  <si>
    <t>Nguyễn Thị Thanh</t>
  </si>
  <si>
    <t>Bà Lê Thị Nguyệt</t>
  </si>
  <si>
    <t>Bà Nguyễn Thị Lứu</t>
  </si>
  <si>
    <t>001082018292</t>
  </si>
  <si>
    <t>001190042740</t>
  </si>
  <si>
    <t>06/12/2021</t>
  </si>
  <si>
    <t>001152022999</t>
  </si>
  <si>
    <t>P337 D19 Tổ 5 Kđt Đặng Xá, Đặng Xá, Gia Lâm, Hà Nội</t>
  </si>
  <si>
    <t>001165043113</t>
  </si>
  <si>
    <t>001073014543</t>
  </si>
  <si>
    <t>001047006151</t>
  </si>
  <si>
    <t>10/04/2021</t>
  </si>
  <si>
    <t/>
  </si>
  <si>
    <t>CỘNG HÒA XÃ HỘI CHỦ NGHĨA VIỆT NAM</t>
  </si>
  <si>
    <t>Độc lập - Tự do - Hạnh phúc</t>
  </si>
  <si>
    <t>Số: 01/PACT</t>
  </si>
  <si>
    <t xml:space="preserve">PHƯƠNG ÁN CHI TIẾT BỒI THƯỜNG, HỖ TRỢ, TÁI ĐỊNH CƯ </t>
  </si>
  <si>
    <t>I. NHỮNG CĂN CỨ PHÁP LÝ:</t>
  </si>
  <si>
    <t xml:space="preserve">Số điện thoại: </t>
  </si>
  <si>
    <t>- Số nhân khẩu nông nghiệp của hộ gia đình trực tiếp sản xuất nông nghiệp bị thu hồi:</t>
  </si>
  <si>
    <t>nhân khẩu</t>
  </si>
  <si>
    <t>2/ Thông tin về thửa đất:</t>
  </si>
  <si>
    <t xml:space="preserve"> * Tổng diện tích đất đất nông nghiệp hộ gia đình được giao đang sử dụng:</t>
  </si>
  <si>
    <t xml:space="preserve"> * Diện tích thửa đất hộ gia đình đang sử dụng bị thu hồi vào dự án:</t>
  </si>
  <si>
    <t>Trong đó:</t>
  </si>
  <si>
    <t xml:space="preserve"> + Diện tích trong chỉ giới GPMB:</t>
  </si>
  <si>
    <t xml:space="preserve"> + Diện tích ngoài chỉ giới GPMB: </t>
  </si>
  <si>
    <t>1. Bồi thường, hỗ trợ về đất bị thu hồi:</t>
  </si>
  <si>
    <t>TT</t>
  </si>
  <si>
    <t xml:space="preserve">Đơn vị tính </t>
  </si>
  <si>
    <t>Diện tích</t>
  </si>
  <si>
    <t>Hệ số (K)</t>
  </si>
  <si>
    <t>Tỷ lệ BT, HT (%)</t>
  </si>
  <si>
    <t>Thành tiền (đ)</t>
  </si>
  <si>
    <t>Đất chuyên trồng lúa nước (LUC)</t>
  </si>
  <si>
    <t>Tổng tiền :</t>
  </si>
  <si>
    <t xml:space="preserve"> 2. Bồi thường, hỗ trợ về tài sản, cây trồng, vật nuôi là thuỷ sản gắn liền với đất thu hồi:</t>
  </si>
  <si>
    <t>A</t>
  </si>
  <si>
    <t xml:space="preserve"> Công trình, vật kiến trúc: Đất chưa được cơ quan Nhà nước cho phép chuyển đổi mục đích sử dụng đất. Căn cứ Điều 81 Luật Đất đai năm 2024 (Các trường hợp thu hồi đất do vi phạm pháp luật về đất đai). Căn cứ Điều 105 Luật đất đai 2024 (Trường hợp không được bồi thường tài sản gắn liền với đất khi Nhà nước thu hồi đất)</t>
  </si>
  <si>
    <t>Tên tài sản</t>
  </si>
  <si>
    <t>Đơn vị tính</t>
  </si>
  <si>
    <t>Quy cách tài sản</t>
  </si>
  <si>
    <t>Khối lượng</t>
  </si>
  <si>
    <t>Đơn giá (đ)</t>
  </si>
  <si>
    <t>Rộng (m)</t>
  </si>
  <si>
    <t>Dài
(m)</t>
  </si>
  <si>
    <t>Cộng:</t>
  </si>
  <si>
    <t>B</t>
  </si>
  <si>
    <t>Danh mục</t>
  </si>
  <si>
    <t>Kích thước, đường kính, chiều cao, năng suất</t>
  </si>
  <si>
    <t>Số lượng</t>
  </si>
  <si>
    <t>Tổng tiền (A+B):</t>
  </si>
  <si>
    <t>3. Các khoản bồi thường, hỗ trợ khác:</t>
  </si>
  <si>
    <t>Khoản bồi thường, hỗ trợ</t>
  </si>
  <si>
    <t>Tỷ lệ (%)</t>
  </si>
  <si>
    <t>Hỗ trợ đào tạo, chuyển đổi nghề nghiệp và tìm kiếm việc làm khi thu hồi đất nông nghiệp (thực hiện khoản 5 Điều 109 Luật Đất đai và Điều 22 Nghị định số 88/2024/NĐ-CP ngày 15/7/2024 của Chính phủ, Điều 16  QĐ  số 56/2024/QĐ-UBND ngày 06/9/2024 của UBND thành phố Hà Nội)</t>
  </si>
  <si>
    <t xml:space="preserve">Hỗ trợ 05 lần giá đất nông nghiệp </t>
  </si>
  <si>
    <t>khẩu</t>
  </si>
  <si>
    <t>Thưởng tiến độ bàn giao mặt bằng: 3.000đ/m2 và không quá 3.000.000 đ/chủ sử dụng đất (khoản 1, điều 18 Quyết định số 56/2024/QĐ-UBND ngày 06/9/2024 của UBND thành phố Hà Nội)</t>
  </si>
  <si>
    <t>4. Tổng tiền bồi thường, hỗ trợ được nhận (1) + (2) + (3):</t>
  </si>
  <si>
    <t>đồng</t>
  </si>
  <si>
    <t>Khi Nhà nước thu hồi đất để thực hiện Dự án: Đường trục phía Nam tỉnh Hà Tây (cũ) (Đoạn qua địa bàn xã Đại Cường)</t>
  </si>
  <si>
    <t>Nhân khẩu</t>
  </si>
  <si>
    <t>Tổng diện tích đất NN hiện nay đamg sử dụng</t>
  </si>
  <si>
    <t xml:space="preserve"> Cao
(m)</t>
  </si>
  <si>
    <t>BẢNG TỔNG HỢP PHƯƠNG ÁN CHI TIẾT BỒI THƯỜNG HỖ TRỢ, TÁI ĐỊNH CƯ</t>
  </si>
  <si>
    <t>Bồi thường về đất
(đ)</t>
  </si>
  <si>
    <t>Bồi thường về tài sản, vật kiến trúc
(đ)</t>
  </si>
  <si>
    <t>Bồi thường cây trồng, vật nuôi là thủy sản
(đ)</t>
  </si>
  <si>
    <t>Hỗ trợ đào tạo, chuyển đổi nghề nghiệp và tìm kiếm việc làm (đ)</t>
  </si>
  <si>
    <t>Hỗ trợ ổn định đời sống và ổn định sản xuất</t>
  </si>
  <si>
    <t>Thưởng tiến độ BGMB đúng thời gian quy định (đ)</t>
  </si>
  <si>
    <t>Tổng tiền bồi thường, hỗ trợ (đ)</t>
  </si>
  <si>
    <t>Tổng các khoản bồi thường, hỗ trợ khác</t>
  </si>
  <si>
    <t>Tỷ lệ phần trăm</t>
  </si>
  <si>
    <t>Đã lên PA</t>
  </si>
  <si>
    <t>x</t>
  </si>
  <si>
    <t xml:space="preserve">Bằng chữ: </t>
  </si>
  <si>
    <r>
      <t>m</t>
    </r>
    <r>
      <rPr>
        <vertAlign val="superscript"/>
        <sz val="14"/>
        <rFont val="Times New Roman"/>
        <family val="1"/>
      </rPr>
      <t>2</t>
    </r>
    <r>
      <rPr>
        <sz val="13"/>
        <rFont val="Times New Roman"/>
        <family val="1"/>
      </rPr>
      <t/>
    </r>
  </si>
  <si>
    <r>
      <t>m</t>
    </r>
    <r>
      <rPr>
        <i/>
        <vertAlign val="superscript"/>
        <sz val="14"/>
        <rFont val="Times New Roman"/>
        <family val="1"/>
      </rPr>
      <t>2</t>
    </r>
    <r>
      <rPr>
        <i/>
        <sz val="14"/>
        <rFont val="Times New Roman"/>
        <family val="1"/>
      </rPr>
      <t xml:space="preserve">; </t>
    </r>
  </si>
  <si>
    <r>
      <t>m</t>
    </r>
    <r>
      <rPr>
        <i/>
        <vertAlign val="superscript"/>
        <sz val="14"/>
        <rFont val="Times New Roman"/>
        <family val="1"/>
      </rPr>
      <t>2</t>
    </r>
    <r>
      <rPr>
        <i/>
        <sz val="14"/>
        <rFont val="Times New Roman"/>
        <family val="1"/>
      </rPr>
      <t>;</t>
    </r>
  </si>
  <si>
    <r>
      <t>m</t>
    </r>
    <r>
      <rPr>
        <vertAlign val="superscript"/>
        <sz val="14"/>
        <rFont val="Times New Roman"/>
        <family val="1"/>
      </rPr>
      <t>2</t>
    </r>
  </si>
  <si>
    <t>I</t>
  </si>
  <si>
    <t>Đất nông nghiệp của 22 hộ gia đình, cá nhân</t>
  </si>
  <si>
    <t>II</t>
  </si>
  <si>
    <t>UBND xã Đại Cường</t>
  </si>
  <si>
    <t>Đất giao thông (DGT)</t>
  </si>
  <si>
    <t>Đất thủy lợi (DTL)</t>
  </si>
  <si>
    <t>Đồng Nhỗ Trôi, Đồng Lữu</t>
  </si>
  <si>
    <t>47, 48</t>
  </si>
  <si>
    <t>1. Tiền bồi thường, hỗ trợ và tái định cư là:</t>
  </si>
  <si>
    <t>đồng;</t>
  </si>
  <si>
    <t>2. Chi phí tổ chức thực hiện bồi thường, hỗ trợ và tái định cư : (1)x2%</t>
  </si>
  <si>
    <t>3. Tổng kinh phí bồi thường, hỗ trợ và tái định cư: (1)+(2)</t>
  </si>
  <si>
    <t>đồng.</t>
  </si>
  <si>
    <t>Thửa 5,22 tờ BĐ 47; thửa 11, tờ BĐ 48</t>
  </si>
  <si>
    <t>Thửa 7,9,10,19,20,21,24 tờ BĐ 47; thửa 2,8,10,12,16 tờ BĐ 48</t>
  </si>
  <si>
    <t>Thửa 8 tờ BĐ 47; thửa 9 tờ BĐ 48</t>
  </si>
  <si>
    <t>DGT</t>
  </si>
  <si>
    <t>DTL</t>
  </si>
  <si>
    <t>Bằng chữ:   Mười tám tỷ, chín trăm bảy mươi bốn triệu, một trăm chín mươi nghìn, sáu trăm năm mươi bốn đồng./.</t>
  </si>
  <si>
    <t>DANH SÁCH TỔ CHỨC, CÁC HỘ GIA ĐÌNH, CÁ NHÂN CÓ ĐẤT NẰM TRONG PHẠM VI THỰC HIỆN</t>
  </si>
  <si>
    <t>Dự án: Đường trục phía Nam tỉnh Hà Tây (cũ) (Đoạn qua địa bàn xã Đại Cường)</t>
  </si>
  <si>
    <t xml:space="preserve">               (Kèm theo Giấy mời số:            /GM-PTQĐ ngày 08/4/2025 của Trung tâm phát triển quỹ đất huyện Ứng Hòa)</t>
  </si>
  <si>
    <t>II. HỌ VÀ TÊN NGƯỜI SỬ DỤNG ĐẤT, DIỆN TÍCH BỒI THƯỜNG HỖ TRỢ:</t>
  </si>
  <si>
    <t>III. PHƯƠNG ÁN BỒI THƯỜNG, HỖ TRỢ, TÁI ĐỊNH CƯ:</t>
  </si>
  <si>
    <t>Hỗ trợ ổn định đời sống và ổn định sản xuất (đ)</t>
  </si>
  <si>
    <t>Bồi thường về đất (đ)</t>
  </si>
  <si>
    <t>Bồi thường cây trồng, vật nuôi là thủy sản (đ)</t>
  </si>
  <si>
    <r>
      <t>Tổng diện tích (m</t>
    </r>
    <r>
      <rPr>
        <b/>
        <vertAlign val="superscript"/>
        <sz val="14"/>
        <color theme="1"/>
        <rFont val="Times New Roman"/>
        <family val="1"/>
      </rPr>
      <t>2</t>
    </r>
    <r>
      <rPr>
        <b/>
        <sz val="14"/>
        <color theme="1"/>
        <rFont val="Times New Roman"/>
        <family val="1"/>
      </rPr>
      <t>)</t>
    </r>
  </si>
  <si>
    <r>
      <t>DT còn lại (m</t>
    </r>
    <r>
      <rPr>
        <b/>
        <vertAlign val="superscript"/>
        <sz val="14"/>
        <color theme="1"/>
        <rFont val="Times New Roman"/>
        <family val="1"/>
      </rPr>
      <t>2</t>
    </r>
    <r>
      <rPr>
        <b/>
        <sz val="14"/>
        <color theme="1"/>
        <rFont val="Times New Roman"/>
        <family val="1"/>
      </rPr>
      <t>)</t>
    </r>
  </si>
  <si>
    <t>BẢNG TỔNG HỢP PHƯƠNG ÁN CHI TIẾT BỒI THƯỜNG, HỖ TRỢ, TÁI ĐỊNH CƯ</t>
  </si>
  <si>
    <t>Hộ ông Đỗ Văn Dân</t>
  </si>
  <si>
    <t>Hộ ông Đỗ Văn Tĩnh</t>
  </si>
  <si>
    <t>Hộ bà Đỗ Thị Chi</t>
  </si>
  <si>
    <t>Hộ ông Lưu Tiến Tịnh</t>
  </si>
  <si>
    <t>Hộ bà Lưu Thị Nụ</t>
  </si>
  <si>
    <t>Hộ ông Nguyễn Văn Tùng</t>
  </si>
  <si>
    <t>Hộ ông Phùng Quốc Long</t>
  </si>
  <si>
    <t>Thôn Trung Hoà</t>
  </si>
  <si>
    <t>Đồng Cửa Cầu</t>
  </si>
  <si>
    <t>0978955318</t>
  </si>
  <si>
    <t>001059018907</t>
  </si>
  <si>
    <t>Thôn Thái Hòa</t>
  </si>
  <si>
    <t>Đồng Xen</t>
  </si>
  <si>
    <t>0355987168</t>
  </si>
  <si>
    <t>001064024380</t>
  </si>
  <si>
    <t>16/04/2024</t>
  </si>
  <si>
    <t>Thôn Nhân Hòa</t>
  </si>
  <si>
    <t>0978078921</t>
  </si>
  <si>
    <t>0987761408</t>
  </si>
  <si>
    <t>0988712033</t>
  </si>
  <si>
    <t>0387695166</t>
  </si>
  <si>
    <t>0977046977</t>
  </si>
  <si>
    <t>001165023760</t>
  </si>
  <si>
    <t>19/04/2021</t>
  </si>
  <si>
    <t>001068024038</t>
  </si>
  <si>
    <t>16/04/2021</t>
  </si>
  <si>
    <t>001165023334</t>
  </si>
  <si>
    <t>12/05/2025</t>
  </si>
  <si>
    <t>001074047526</t>
  </si>
  <si>
    <t>Khi Nhà nước thu hồi đất để thực hiện Dự án: Đầu tư Nâng cấp, mở rộng Quốc Lộ 21B đoạn từ thị trấn vân đình tới đường tỉnh 424 (76 cũ) địa phận huyện Ứng Hòa (địa bàn xã Hòa Xá)</t>
  </si>
  <si>
    <t>Khi Nhà nước thu hồi đất để thực hiện Dự án: Nâng cấp, mở rộng Quốc Lộ 21B đoạn từ thị trấn vân đình tới đường tỉnh 424 (76 cũ) địa phận huyện Ứng Hòa (Địa bàn xã Hòa Xá)</t>
  </si>
  <si>
    <t>1/ Họ và tên người có đất thu hồi (hoặc ủy quyền theo quy định của pháp luật): Hộ ông Đỗ Văn Dân</t>
  </si>
  <si>
    <t xml:space="preserve">   Họ và tên người sở hữu tài sản trên đất (hoặc ủy quyền theo quy định của pháp luật): Hộ ông Đỗ Văn Dân</t>
  </si>
  <si>
    <t>- Số định danh cá nhân: 001059018907</t>
  </si>
  <si>
    <t>Cấp ngày: 29/03/2021</t>
  </si>
  <si>
    <t>- Địa chỉ thường trú: Thôn Trung Hòa, xã Hòa Xá, thành phố Hà Nội;</t>
  </si>
  <si>
    <t>- Nơi ở hiện nay: Thôn Trung Hòa, xã Hòa Xá, thành phố Hà Nội;</t>
  </si>
  <si>
    <r>
      <t>đ/m</t>
    </r>
    <r>
      <rPr>
        <vertAlign val="superscript"/>
        <sz val="14"/>
        <rFont val="Times New Roman"/>
        <family val="1"/>
      </rPr>
      <t>2</t>
    </r>
  </si>
  <si>
    <t>Cỏ voi</t>
  </si>
  <si>
    <t>Ngô</t>
  </si>
  <si>
    <t>Lá dong</t>
  </si>
  <si>
    <t>Cây chanh</t>
  </si>
  <si>
    <t>đ/cây</t>
  </si>
  <si>
    <t>Cây mít</t>
  </si>
  <si>
    <t>Cây xoan</t>
  </si>
  <si>
    <t>Củ dong riềng</t>
  </si>
  <si>
    <t>Cây nhãn</t>
  </si>
  <si>
    <t>Cây chuối</t>
  </si>
  <si>
    <t>3 cm ≤ ĐK thân &lt; 5 cm; 0,5 m ≤ cao &lt; 1 m</t>
  </si>
  <si>
    <t>1 cm ≤ ĐK thân &lt; 3 cm; 0,5 m ≤ cao &lt; 1,5m</t>
  </si>
  <si>
    <t>3 cm ≤ ĐK thân &lt; 6 cm; 1,5 m ≤ cao &lt; 2,5 m</t>
  </si>
  <si>
    <t>10 cm ≤ ĐK thân &lt; 15 cm</t>
  </si>
  <si>
    <t>20 cm ≤ ĐK thân &lt; 30 cm</t>
  </si>
  <si>
    <t>10 cm ≤ ĐK thân &lt;15 cm; cao ≥ 2m</t>
  </si>
  <si>
    <t>7 cm ≤ ĐK thân &lt; 10 cm; cao ≥ 2m</t>
  </si>
  <si>
    <t>Loại cao &lt; 1m</t>
  </si>
  <si>
    <t>Loại cao ≥ 1m, chưa có buồng</t>
  </si>
  <si>
    <t>Có buồng</t>
  </si>
  <si>
    <t>Cây bạch đàn</t>
  </si>
  <si>
    <t>Cây sấu</t>
  </si>
  <si>
    <t>Cây bưởi</t>
  </si>
  <si>
    <t>20 cm ≤ ĐK thân &lt; 25 cm</t>
  </si>
  <si>
    <t>5 cm ≤ ĐK thân &lt; 10 cm; 2 m ≤ cao &lt; 3 m</t>
  </si>
  <si>
    <t>10 cm ≤ ĐK thân &lt; 15 cm; 3 m ≤ cao &lt; 4 m</t>
  </si>
  <si>
    <t>5 cm ≤ ĐK thân &lt; 10 cm; 2 m &lt; cao ≤ 3 m</t>
  </si>
  <si>
    <t xml:space="preserve">Tường gạch chỉ 110, xây cao 2m, móng gạch, có bổ trụ
</t>
  </si>
  <si>
    <t>Khung sắt góc lưới B40</t>
  </si>
  <si>
    <r>
      <t xml:space="preserve">Tường xây gạch bê tông xi măng
</t>
    </r>
    <r>
      <rPr>
        <i/>
        <sz val="14"/>
        <rFont val="Times New Roman"/>
        <family val="1"/>
      </rPr>
      <t>(Vận dụng đơn giá xây tường rào gạch đá ong)</t>
    </r>
  </si>
  <si>
    <t>Cây lộc vừng</t>
  </si>
  <si>
    <t>15 cm ≤ ĐK thân &lt; 20 cm; 4 m &lt; cao ≤ 6 m</t>
  </si>
  <si>
    <t>3 cm ≤ ĐK thân &lt; 5 cm; 1 m &lt; cao ≤ 2 m</t>
  </si>
  <si>
    <t>15 cm ≤ ĐK thân &lt; 20 cm; cao ≥ 3,5 m</t>
  </si>
  <si>
    <t>3 cm ≤ ĐK thân &lt; 5 cm</t>
  </si>
  <si>
    <t>Loại cao &lt;1m</t>
  </si>
  <si>
    <t>Cây ổi</t>
  </si>
  <si>
    <t>20 cm ≤ ĐK thân &lt; 25 cm; cao &gt; 6 m</t>
  </si>
  <si>
    <t>10 cm ≤ ĐK thân &lt; 15 cm; 3 m &lt; cao ≤ 4 m</t>
  </si>
  <si>
    <t>6 cm ≤ ĐK thân &lt; 10 cm; 2,5 m ≤ cao &lt; 3,5m</t>
  </si>
  <si>
    <t>25 cm ≤ ĐK thân &lt; 30 cm; cao ≥ 3,5 m</t>
  </si>
  <si>
    <t>5 cm ≤ ĐK thân &lt; 10 cm; 1 m ≤ cao &lt; 1,5 m</t>
  </si>
  <si>
    <t>5 cm ≤ ĐK thân &lt; 10 cm</t>
  </si>
  <si>
    <t>Số: 02/PACT</t>
  </si>
  <si>
    <t>Số: 03/PACT</t>
  </si>
  <si>
    <t>Số: 04/PACT</t>
  </si>
  <si>
    <t>Số: 05/PACT</t>
  </si>
  <si>
    <t>Số: 06/PACT</t>
  </si>
  <si>
    <t>Số: 07/PACT</t>
  </si>
  <si>
    <t>1/ Họ và tên người có đất thu hồi (hoặc ủy quyền theo quy định của pháp luật): Hộ ông Đỗ Văn Tĩnh</t>
  </si>
  <si>
    <t xml:space="preserve">   Họ và tên người sở hữu tài sản trên đất (hoặc ủy quyền theo quy định của pháp luật): Hộ ông Đỗ Văn Tĩnh</t>
  </si>
  <si>
    <t>- Địa chỉ thường trú: Thôn Thái Hòa, xã Hòa Xá, thành phố Hà Nội;</t>
  </si>
  <si>
    <t>- Nơi ở hiện nay: Thôn Thái Hòa, xã Hòa Xá, thành phố Hà Nội;</t>
  </si>
  <si>
    <t>1/ Họ và tên người có đất thu hồi (hoặc ủy quyền theo quy định của pháp luật): Hộ bà Đỗ Thị Chi</t>
  </si>
  <si>
    <t xml:space="preserve">   Họ và tên người sở hữu tài sản trên đất (hoặc ủy quyền theo quy định của pháp luật): Hộ bà Đỗ Thị Chi</t>
  </si>
  <si>
    <t>- Số định danh cá nhân: '001165023760</t>
  </si>
  <si>
    <t>Cấp ngày: '19/04/2021</t>
  </si>
  <si>
    <t>- Địa chỉ thường trú: Thôn Nhân Hòa, xã Hòa Xá, thành phố Hà Nội;</t>
  </si>
  <si>
    <t>- Nơi ở hiện nay: Thôn Nhân Hòa, xã Hòa Xá, thành phố Hà Nội;</t>
  </si>
  <si>
    <t>1/ Họ và tên người có đất thu hồi (hoặc ủy quyền theo quy định của pháp luật): Hộ ông Lưu Tiến Tịnh</t>
  </si>
  <si>
    <t xml:space="preserve">   Họ và tên người sở hữu tài sản trên đất (hoặc ủy quyền theo quy định của pháp luật): Hộ ông Lưu Tiến Tịnh</t>
  </si>
  <si>
    <t>- Số định danh cá nhân: '001068024038</t>
  </si>
  <si>
    <t>Cấp ngày: 16/04/2021</t>
  </si>
  <si>
    <t>1/ Họ và tên người có đất thu hồi (hoặc ủy quyền theo quy định của pháp luật): Hộ bà Lưu Thị Nụ</t>
  </si>
  <si>
    <t xml:space="preserve">   Họ và tên người sở hữu tài sản trên đất (hoặc ủy quyền theo quy định của pháp luật): Hộ bà Lưu Thị Nụ</t>
  </si>
  <si>
    <t>- Số định danh cá nhân: '001165023334</t>
  </si>
  <si>
    <t>Cấp ngày: 12/05/2025</t>
  </si>
  <si>
    <t>1/ Họ và tên người có đất thu hồi (hoặc ủy quyền theo quy định của pháp luật): Hộ ông Nguyễn Văn Tùng</t>
  </si>
  <si>
    <t xml:space="preserve">   Họ và tên người sở hữu tài sản trên đất (hoặc ủy quyền theo quy định của pháp luật): Hộ ông Nguyễn Văn Tùng</t>
  </si>
  <si>
    <t>- Số định danh cá nhân: '001074047526</t>
  </si>
  <si>
    <t>Cấp ngày: 10/05/2021</t>
  </si>
  <si>
    <t>1/ Họ và tên người có đất thu hồi (hoặc ủy quyền theo quy định của pháp luật): Hộ ông Phùng Quốc Long</t>
  </si>
  <si>
    <t xml:space="preserve">   Họ và tên người sở hữu tài sản trên đất (hoặc ủy quyền theo quy định của pháp luật): Hộ ông Phùng Quốc Long</t>
  </si>
  <si>
    <r>
      <t xml:space="preserve">Tường xây gạch bê tông
</t>
    </r>
    <r>
      <rPr>
        <i/>
        <sz val="14"/>
        <rFont val="Times New Roman"/>
        <family val="1"/>
      </rPr>
      <t>Vận dụng đơn giá xây tường rào gạch đá ong</t>
    </r>
    <r>
      <rPr>
        <sz val="14"/>
        <rFont val="Times New Roman"/>
        <family val="1"/>
      </rPr>
      <t xml:space="preserve">
</t>
    </r>
  </si>
  <si>
    <t>Nhà tạm tường xây gạch 110, cao 3m trở xuống, nhà không có khu phụ, mái fibroximăng, nền láng xi măng (chuồng gà)</t>
  </si>
  <si>
    <t>Khoai nước</t>
  </si>
  <si>
    <t>Cây cau</t>
  </si>
  <si>
    <t>2 m ≤ cao &lt; 3,5 m</t>
  </si>
  <si>
    <t>- Số định danh cá nhân: '001064024380</t>
  </si>
  <si>
    <t>Cấp ngày: 16/04/2024</t>
  </si>
  <si>
    <t>Cây khế</t>
  </si>
  <si>
    <t>Cây na</t>
  </si>
  <si>
    <t>30 cm ≤ ĐK thân &lt; 40 cm; cao ≥ 3,5 m</t>
  </si>
  <si>
    <t>40 cm ≤ ĐK thân &lt; 50 cm; cao ≥ 3,5 m</t>
  </si>
  <si>
    <t>20 cm ≤ ĐK thân &lt; 30 cm; 4 m &lt; cao ≤ 8 m</t>
  </si>
  <si>
    <t>10 cm ≤ ĐK thân &lt; 20 cm; 1,5 m ≤ cao &lt; 2 m</t>
  </si>
  <si>
    <t>5 cm ≤ ĐK thân &lt; 10 cm; 1,5 m &lt; cao ≤ 2 m</t>
  </si>
  <si>
    <t xml:space="preserve">Diện tích thu hồi dự án trước </t>
  </si>
  <si>
    <t>27/8/2025</t>
  </si>
  <si>
    <t xml:space="preserve"> * Tổng diện tích đất đất bị thu hồi tại các dự án trước và diện tích đất đã chuyển nhượng, tặng theo quy định:</t>
  </si>
  <si>
    <r>
      <t>Tổng diện tích đất NN hiện nay đang sử dụng (m</t>
    </r>
    <r>
      <rPr>
        <b/>
        <vertAlign val="superscript"/>
        <sz val="14"/>
        <color theme="1"/>
        <rFont val="Times New Roman"/>
        <family val="1"/>
      </rPr>
      <t>2</t>
    </r>
    <r>
      <rPr>
        <b/>
        <sz val="14"/>
        <color theme="1"/>
        <rFont val="Times New Roman"/>
        <family val="1"/>
      </rPr>
      <t>)</t>
    </r>
  </si>
  <si>
    <t>Tỷ lệ phần trăm (%)</t>
  </si>
  <si>
    <t>Đất do UBND xã quản lý</t>
  </si>
  <si>
    <t>Không được BT về đất theo Điều 81 LĐĐ</t>
  </si>
  <si>
    <r>
      <t xml:space="preserve"> * Nguồn gốc, thời gian sử dụng đất: </t>
    </r>
    <r>
      <rPr>
        <sz val="14"/>
        <rFont val="Times New Roman"/>
        <family val="1"/>
      </rPr>
      <t xml:space="preserve">
- Tổng diện tích đất đang sử dụng: 1.176,0m</t>
    </r>
    <r>
      <rPr>
        <vertAlign val="superscript"/>
        <sz val="14"/>
        <rFont val="Times New Roman"/>
        <family val="1"/>
      </rPr>
      <t>2</t>
    </r>
    <r>
      <rPr>
        <sz val="14"/>
        <rFont val="Times New Roman"/>
        <family val="1"/>
      </rPr>
      <t xml:space="preserve"> (thửa đất số 7, tờ bản đồ số 2).
- Diện tích đất thu hồi thực hiện dự án: 251,2m</t>
    </r>
    <r>
      <rPr>
        <vertAlign val="superscript"/>
        <sz val="14"/>
        <rFont val="Times New Roman"/>
        <family val="1"/>
      </rPr>
      <t>2</t>
    </r>
    <r>
      <rPr>
        <sz val="14"/>
        <rFont val="Times New Roman"/>
        <family val="1"/>
      </rPr>
      <t xml:space="preserve"> có nguồn gốc là đất nông nghiệp được giao theo Nghị định 64/CP của Chính phủ (trong diện tích 1.176,0m</t>
    </r>
    <r>
      <rPr>
        <vertAlign val="superscript"/>
        <sz val="14"/>
        <rFont val="Times New Roman"/>
        <family val="1"/>
      </rPr>
      <t>2</t>
    </r>
    <r>
      <rPr>
        <sz val="14"/>
        <rFont val="Times New Roman"/>
        <family val="1"/>
      </rPr>
      <t xml:space="preserve"> được chuyển về sử dụng tại đồng Nghĩa trang):
 - Diện tích đất còn lại: 924,8m</t>
    </r>
    <r>
      <rPr>
        <vertAlign val="superscript"/>
        <sz val="14"/>
        <rFont val="Times New Roman"/>
        <family val="1"/>
      </rPr>
      <t>2</t>
    </r>
    <r>
      <rPr>
        <sz val="14"/>
        <rFont val="Times New Roman"/>
        <family val="1"/>
      </rPr>
      <t xml:space="preserve"> đất nông nghiệp được giao theo Nghị định 64/CP của Chính phủ.
</t>
    </r>
  </si>
  <si>
    <r>
      <t xml:space="preserve"> -  Diện tích các thửa đất hộ gia đình đang sử dụng bị thu hồi vào dự án (400,8m</t>
    </r>
    <r>
      <rPr>
        <vertAlign val="superscript"/>
        <sz val="14"/>
        <rFont val="Times New Roman"/>
        <family val="1"/>
      </rPr>
      <t>2</t>
    </r>
    <r>
      <rPr>
        <sz val="14"/>
        <rFont val="Times New Roman"/>
        <family val="1"/>
      </rPr>
      <t xml:space="preserve"> + 565,0m</t>
    </r>
    <r>
      <rPr>
        <vertAlign val="superscript"/>
        <sz val="14"/>
        <rFont val="Times New Roman"/>
        <family val="1"/>
      </rPr>
      <t>2</t>
    </r>
    <r>
      <rPr>
        <sz val="14"/>
        <rFont val="Times New Roman"/>
        <family val="1"/>
      </rPr>
      <t>)</t>
    </r>
  </si>
  <si>
    <r>
      <t xml:space="preserve"> - Diện tích ngoài chỉ giới GPMB (352,8m</t>
    </r>
    <r>
      <rPr>
        <i/>
        <vertAlign val="superscript"/>
        <sz val="14"/>
        <rFont val="Times New Roman"/>
        <family val="1"/>
      </rPr>
      <t>2</t>
    </r>
    <r>
      <rPr>
        <i/>
        <sz val="14"/>
        <rFont val="Times New Roman"/>
        <family val="1"/>
      </rPr>
      <t>+ 0,0m</t>
    </r>
    <r>
      <rPr>
        <i/>
        <vertAlign val="superscript"/>
        <sz val="14"/>
        <rFont val="Times New Roman"/>
        <family val="1"/>
      </rPr>
      <t>2</t>
    </r>
    <r>
      <rPr>
        <i/>
        <sz val="14"/>
        <rFont val="Times New Roman"/>
        <family val="1"/>
      </rPr>
      <t>)</t>
    </r>
  </si>
  <si>
    <r>
      <t xml:space="preserve"> -  Diện tích trong chỉ giới GPMB (48,0m</t>
    </r>
    <r>
      <rPr>
        <i/>
        <vertAlign val="superscript"/>
        <sz val="14"/>
        <rFont val="Times New Roman"/>
        <family val="1"/>
      </rPr>
      <t>2</t>
    </r>
    <r>
      <rPr>
        <i/>
        <sz val="14"/>
        <rFont val="Times New Roman"/>
        <family val="1"/>
      </rPr>
      <t>+565,0m</t>
    </r>
    <r>
      <rPr>
        <i/>
        <vertAlign val="superscript"/>
        <sz val="14"/>
        <rFont val="Times New Roman"/>
        <family val="1"/>
      </rPr>
      <t>2</t>
    </r>
    <r>
      <rPr>
        <i/>
        <sz val="14"/>
        <rFont val="Times New Roman"/>
        <family val="1"/>
      </rPr>
      <t>)</t>
    </r>
  </si>
  <si>
    <r>
      <t>DT thu hồi đất do UBND xã quản lý (m</t>
    </r>
    <r>
      <rPr>
        <b/>
        <vertAlign val="superscript"/>
        <sz val="14"/>
        <color theme="1"/>
        <rFont val="Times New Roman"/>
        <family val="1"/>
      </rPr>
      <t>2</t>
    </r>
    <r>
      <rPr>
        <b/>
        <sz val="14"/>
        <color theme="1"/>
        <rFont val="Times New Roman"/>
        <family val="1"/>
      </rPr>
      <t>)</t>
    </r>
  </si>
  <si>
    <r>
      <t>DT thu hồi đất hộ gia đình (m</t>
    </r>
    <r>
      <rPr>
        <b/>
        <vertAlign val="superscript"/>
        <sz val="14"/>
        <color theme="1"/>
        <rFont val="Times New Roman"/>
        <family val="1"/>
      </rPr>
      <t>2</t>
    </r>
    <r>
      <rPr>
        <b/>
        <sz val="14"/>
        <color theme="1"/>
        <rFont val="Times New Roman"/>
        <family val="1"/>
      </rPr>
      <t>)</t>
    </r>
  </si>
  <si>
    <t>Cây trồng, vật nuôi là thủy sản: Sử dụng không đúng mục đích sử dụng đất theo loại đất được giao.
Căn cứ Điều 105 Luật đất đai 2024 (Trường hợp không được bồi thường tài sản gắn liền với đất khi Nhà nước thu hồi đất)</t>
  </si>
  <si>
    <t>Đất chuyên trồng lúa (LUC)</t>
  </si>
  <si>
    <t xml:space="preserve"> * Địa chỉ thửa đất thu hồi: Thửa đất số 2, tờ bản đồ số 3, Đồng Cửa Cầu, xã Hòa Xá, thành phố Hà Nội (Bản đồ phục vụ công tác BTHT&amp;TĐC); Loại đất: Đất chuyên trồng lúa (LUC).</t>
  </si>
  <si>
    <t xml:space="preserve"> * Địa chỉ thửa đất thu hồi: Thửa đất số 7, tờ bản đồ số 2, Đồng Xen, xã Hòa Xá, thành phố Hà Nội (Bản đồ phục vụ công tác BTHT&amp;TĐC); Loại đất: Đất chuyên trồng lúa (LUC).</t>
  </si>
  <si>
    <t xml:space="preserve"> * Địa chỉ thửa đất thu hồi: Thửa đất số 16, tờ bản đồ số 2, Đồng Cửa Cầu, xã Hòa Xá, thành phố Hà Nội (Bản đồ phục vụ công tác BTHT&amp;TĐC); Loại đất: Đất chuyên trồng lúa (LUC).</t>
  </si>
  <si>
    <t xml:space="preserve"> * Địa chỉ thửa đất thu hồi: Thửa đất số 24, tờ bản đồ số 2, Đồng Cửa Cầu, xã Hòa Xá, thành phố Hà Nội (Bản đồ phục vụ công tác BTHT&amp;TĐC); Loại đất: Đất chuyên trồng lúa (LUC).</t>
  </si>
  <si>
    <t xml:space="preserve"> * Địa chỉ thửa đất thu hồi: Thửa đất số 21, tờ bản đồ số 2, Đồng Cửa Cầu, xã Hòa Xá, thành phố Hà Nội (Bản đồ phục vụ công tác BTHT&amp;TĐC); Loại đất: Đất chuyên trồng lúa (LUC).</t>
  </si>
  <si>
    <t xml:space="preserve"> * Địa chỉ thửa đất thu hồi: Thửa đất số 7, tờ bản đồ số 3, Đồng Cửa Cầu, xã Hòa Xá, thành phố Hà Nội (Bản đồ phục vụ công tác BTHT&amp;TĐC); Loại đất: Đất chuyên trồng lúa (LUC).</t>
  </si>
  <si>
    <t xml:space="preserve"> - Căn cứ Thông báo số 473/TB-UBND ngày 19/9/2025 của UBND xã Hòa Xá Về việc phê duyệt mức hỗ trợ ổn định đời sống đối với hộ gia đình, cá nhân bị thu hồi dưới 30% diện tích đất nông nghiệp đang sử dụng khi Nhà nước thu hồi đất để thực hiện các dự án trên địa bàn xã Hoà Xá;</t>
  </si>
  <si>
    <t xml:space="preserve"> - Căn cứ Thông báo số 275/TB-SNN ngày 31/12/2024 của Sở Nông nghiệp và Phát triển nông thôn thành phố Hà Nội quy định Mức giá tối đa làm cơ sở tính bồi thường, hỗ trợ cho từng nhóm cây trồng, vật nuôi là thủy sản không di chuyển được khi Nhà nước thu hồi đất năm 2025;</t>
  </si>
  <si>
    <t xml:space="preserve"> - Căn cứ Quyết định số 51/2025/QĐ-UBND ngày 21/08/2025 của UBND TP Hà Nội về việc sửa đổi, bổ sung một số điều tại Quyết định số 01/2025/QĐ-UBND ngày 15/01/2025 của UBND Thành phố Hà Nội về việc Ban hành đơn giá xây dựng mới về nhà, nhà ở, công trình xây dựng gắn liền với đất để làm căn cứ tính bồi thường thiệt hại khi Nhà nước thu hồi đất trên địa bàn thành phố Hà Nội;</t>
  </si>
  <si>
    <t xml:space="preserve"> - Căn cứ Quyết định số 30/2019/QĐ-UBND ngày 31/12/2019 của UBND TP Hà Nội ban hành quy định về giá các loại đất trên địa bàn Thành phố Hà Nội áp dụng từ ngày 01/01/2020 đến ngày 31/12/2024; số 71/2024/QĐ-UBND ngày 20/12/2024 của UBND thành phố Hà Nội về việc điều chỉnh, sửa đổi, bổ sung Quyết định số 30/2019/QĐ-UBND ngày 31 tháng 12 năm 2019 của Ủy ban nhân dân thành phố Hà Nội về việc ban hành quy định và bảng giá các loại đất trên địa bàn thành phố Hà Nội áp dụng từ ngày 01/01/2020 đến ngày 31/12/2024 được sửa đổi, bổ sung tại Quyết định số 20/2023/QĐ-UBND ngày 07 tháng 9 năm 2023 của Ủy ban nhân dân thành phố Hà Nội;</t>
  </si>
  <si>
    <t xml:space="preserve"> - Căn cứ Quyết định số 56/2024/QĐ-UBND ngày 06/9/2024 của UBND TP Hà Nội ban hành Quy định một số nội dung về bồi thường, hỗ trợ, tái định cư khi Nhà nước thu hồi đất trên địa bàn thành phố Hà Nội; số 61/2024/QĐ-UBND ngày 27/9/2024 của UBND TP Hà Nội ban hành Quy định về một số nội dung thuộc lĩnh vực đất đai trên địa bàn thành phố Hà Nội; Số 38/2025/QĐ-UBND ngày 30/6/2025 của UBND thành phố Hà Nội về việc sửa đổi, bổ sung một số điều của Quy định ban hành kèm theo Quyết định số 56/2024/QĐ-UBND ngày 06/9/2024 của UBND Thành phố quy định một số nội dung về bồi thường, hỗ trợ và tái định cư khi Nhà nước thu hồi đất trên địa bàn thành phố Hà Nội;</t>
  </si>
  <si>
    <t>- Căn cứ Luật đất đai năm 2024; Các Nghị định của Chính phủ: Số 102/2024/NĐ-CP ngày 30/7/2024 quy định chi tiết thi hành một số điều của Luật Đất đai; Số 88/2024/NĐ-CP ngày 15/7/2024 Quy định về bồi thường, hỗ trợ và tái định cư khi Nhà nước thu hồi đất; Số 151/2025/NĐ-CP ngày 12/6/2025 của Chính phủ quy định về phân định thẩm quyền của chính quyền địa phương 02 cấp, phân quyền, phân cấp trong lĩnh vực đất đai; số 226/2025/NĐ-CP ngày 15/8/2025 sửa đổi, bổ sung một số điều của các nghị định quy định chi tiết thi hành Luật đất đai;</t>
  </si>
  <si>
    <t xml:space="preserve"> - Căn cứ Quyết định số 473/QĐ-UBND ngày 19/9/2025 của UBND xã Hòa Xá phê duyệt mức hỗ trợ ổn định đời sống đối với hộ gia đình, cá nhân bị thu hồi dưới 30% diện tích đất nông nghiệp đang sử dụng khi Nhà nước thu hồi đất để thực hiện các dự án trên địa bàn xã Hoà Xá;</t>
  </si>
  <si>
    <r>
      <t xml:space="preserve"> * Nguồn gốc, thời gian sử dụng đất: </t>
    </r>
    <r>
      <rPr>
        <sz val="14"/>
        <rFont val="Times New Roman"/>
        <family val="1"/>
      </rPr>
      <t xml:space="preserve">
- Thửa đất không nằm trong quy hoạch dự án: 1.133,0m</t>
    </r>
    <r>
      <rPr>
        <vertAlign val="superscript"/>
        <sz val="14"/>
        <rFont val="Times New Roman"/>
        <family val="1"/>
      </rPr>
      <t>2</t>
    </r>
    <r>
      <rPr>
        <sz val="14"/>
        <rFont val="Times New Roman"/>
        <family val="1"/>
      </rPr>
      <t>.
- Thửa đất nằm trong quy hoạch dự án: 551,0m</t>
    </r>
    <r>
      <rPr>
        <vertAlign val="superscript"/>
        <sz val="14"/>
        <rFont val="Times New Roman"/>
        <family val="1"/>
      </rPr>
      <t>2</t>
    </r>
    <r>
      <rPr>
        <sz val="14"/>
        <rFont val="Times New Roman"/>
        <family val="1"/>
      </rPr>
      <t xml:space="preserve"> (thửa đất số 21, tờ bản đồ số 2).</t>
    </r>
  </si>
  <si>
    <r>
      <t xml:space="preserve"> </t>
    </r>
    <r>
      <rPr>
        <sz val="14"/>
        <rFont val="Times New Roman"/>
        <family val="1"/>
      </rPr>
      <t>+ Diện tích đất thu hồi thực hiện dự án: 396,1m</t>
    </r>
    <r>
      <rPr>
        <vertAlign val="superscript"/>
        <sz val="14"/>
        <rFont val="Times New Roman"/>
        <family val="1"/>
      </rPr>
      <t>2</t>
    </r>
    <r>
      <rPr>
        <sz val="14"/>
        <rFont val="Times New Roman"/>
        <family val="1"/>
      </rPr>
      <t xml:space="preserve"> có nguồn gốc là đất nông nghiệp được giao theo Nghị định 64/CP của Chính phủ (trong diện tích 1.684,0m</t>
    </r>
    <r>
      <rPr>
        <vertAlign val="superscript"/>
        <sz val="14"/>
        <rFont val="Times New Roman"/>
        <family val="1"/>
      </rPr>
      <t>2</t>
    </r>
    <r>
      <rPr>
        <sz val="14"/>
        <rFont val="Times New Roman"/>
        <family val="1"/>
      </rPr>
      <t xml:space="preserve"> được chuyển về sử dụng tại đồng Cửa Cầu).</t>
    </r>
  </si>
  <si>
    <r>
      <t xml:space="preserve"> + Diện tích đất còn lại: 154,9m</t>
    </r>
    <r>
      <rPr>
        <vertAlign val="superscript"/>
        <sz val="14"/>
        <rFont val="Times New Roman"/>
        <family val="1"/>
      </rPr>
      <t>2</t>
    </r>
    <r>
      <rPr>
        <sz val="14"/>
        <rFont val="Times New Roman"/>
        <family val="1"/>
      </rPr>
      <t xml:space="preserve">
 (Tổng diện tích đất còn lại sau thu hồi tại đồng Cửa cầu của hộ gia đình bà Nụ là 1.287,9m2, gồm: 154,9m</t>
    </r>
    <r>
      <rPr>
        <vertAlign val="superscript"/>
        <sz val="14"/>
        <rFont val="Times New Roman"/>
        <family val="1"/>
      </rPr>
      <t>2</t>
    </r>
    <r>
      <rPr>
        <sz val="14"/>
        <rFont val="Times New Roman"/>
        <family val="1"/>
      </rPr>
      <t xml:space="preserve"> của thửa đất bị thu hồi và 1.133,0m</t>
    </r>
    <r>
      <rPr>
        <vertAlign val="superscript"/>
        <sz val="14"/>
        <rFont val="Times New Roman"/>
        <family val="1"/>
      </rPr>
      <t>2</t>
    </r>
    <r>
      <rPr>
        <sz val="14"/>
        <rFont val="Times New Roman"/>
        <family val="1"/>
      </rPr>
      <t xml:space="preserve"> thửa đất tiếp giáp với thửa đất bị thu hồi).</t>
    </r>
  </si>
  <si>
    <t>Hỗ trợ ổn định đời sống và ổn định sản xuất khi thu hồi đất nông nghiệp (thực hiện theo QĐ số 56/2024/QĐ-UBND ngày 06/9/2024 của UBND thành phố Hà Nội và Quyết định số 473/QĐ-UBND ngày 19/9/2025 của UBND xã Hòa Xá về việc phê duyệt mức hỗ trợ ổn định đời sống đối với hộ gia đình, cá nhân bị thu hồi dưới 30%)</t>
  </si>
  <si>
    <t>Thu hồi dưới 10% hỗ trợ 01 tháng</t>
  </si>
  <si>
    <t>Thu hồi từ 10% đến dưới 20% hỗ trợ 02 tháng</t>
  </si>
  <si>
    <t>Thu hồi từ 20% đến dưới 30% hỗ trợ 03 tháng</t>
  </si>
  <si>
    <t>6 nhân khẩu*30kg gạo*16.000 đồng/kg gạo*3 tháng</t>
  </si>
  <si>
    <t>4 nhân khẩu*30kg gạo*16.000 đồng/kg gạo*3 tháng</t>
  </si>
  <si>
    <t>Bằng chữ:</t>
  </si>
  <si>
    <r>
      <rPr>
        <b/>
        <i/>
        <u/>
        <sz val="14"/>
        <color theme="1"/>
        <rFont val="Times New Roman"/>
        <family val="1"/>
      </rPr>
      <t>Ghi chú</t>
    </r>
    <r>
      <rPr>
        <b/>
        <i/>
        <sz val="14"/>
        <color theme="1"/>
        <rFont val="Times New Roman"/>
        <family val="1"/>
      </rPr>
      <t>:</t>
    </r>
  </si>
  <si>
    <t xml:space="preserve"> - Căn cứ Thông báo số 36/TB-UBND ngày 27/8/2025 của UBND xã Hòa Xá về việc Thu hồi đất đối với 01 hộ gia đình, cá nhân và điều chỉnh, bổ sung nội dung tại 30 Thông báo thu hồi đất để thực hiện dự án: Đầu tư Nâng cấp, mở rộng Quốc lộ 21B đoạn từ thị trấn Vân Đình tới đường tỉnh 424 (76cũ), địa phận huyện Ứng Hòa  (đoạn qua địa bàn xã Hòa Xá);
 - Căn cứ Biên bản kiểm đếm ngày 27/08/2025;
 - Căn cứ Phiếu xác định ngày 28/08/2025 về nguồn gốc sử dụng đất và tài sản gắn liền với đất phục vụ công tác giải phóng mặt bằng.</t>
  </si>
  <si>
    <t xml:space="preserve"> - Căn cứ Thông báo số 36/TB-UBND ngày 27/8/2025 của UBND xã Hòa Xá về việc Thu hồi đất đối với 01 hộ gia đình, cá nhân và điều chỉnh, bổ sung nội dung tại 30 Thông báo thu hồi đất để thực hiện dự án: Đầu tư Nâng cấp, mở rộng Quốc lộ 21B đoạn từ thị trấn Vân Đình tới đường tỉnh 424 (76cũ), địa phận huyện Ứng Hòa  (đoạn qua địa bàn xã Hòa Xá);
 - Căn cứ Biên bản kiểm đếm ngày 27/08/2025;
 - Căn cứ Phiếu xác định ngày về nguồn gốc sử dụng đất và tài sản gắn liền với đất phục vụ công tác giải phóng mặt bằng.</t>
  </si>
  <si>
    <t>5 nhân khẩu*30kg gạo*16.000 đồng/kg gạo*1 tháng</t>
  </si>
  <si>
    <t>- Căn cứ Thông báo số 36/TB-UBND ngày 27/8/2025 của UBND xã Hòa Xá về việc Thu hồi đất đối với 01 hộ gia đình, cá nhân và điều chỉnh, bổ sung nội dung tại 30 Thông báo thu hồi đất để thực hiện dự án: Đầu tư Nâng cấp, mở rộng Quốc lộ 21B đoạn từ thị trấn Vân Đình tới đường tỉnh 424 (76cũ), địa phận huyện Ứng Hòa  (đoạn qua địa bàn xã Hòa Xá);
- Căn cứ Biên bản kiểm đếm ngày 27/08/2025;
- Căn cứ Phiếu xác định ngày 28/08/2025 về nguồn gốc sử dụng đất và tài sản gắn liền với đất phục vụ công tác giải phóng mặt bằng.</t>
  </si>
  <si>
    <t>8 nhân khẩu*30kg gạo*16.000 đồng/kg gạo*2 tháng</t>
  </si>
  <si>
    <t>5 nhân khẩu*30kg gạo*16.000 đồng/kg gạo*3 tháng</t>
  </si>
  <si>
    <t>5 nhân khẩu*30kg gạo*16.000 đồng/kg gạo*2 tháng</t>
  </si>
  <si>
    <t>Khi Nhà nước thu hồi đất để thực hiện Dự án: Nâng cấp, mở rộng Quốc Lộ 21B đoạn từ thị trấn vân đình tới đường tỉnh 424 (76 cũ) địa phận huyện Ứng Hòa (Đoạn qua địa bàn xã Hòa Xá)</t>
  </si>
  <si>
    <t xml:space="preserve"> -  Căn cứ Luật đất đai năm 2024; Các Nghị định của Chính phủ: số 71/2024/NĐ-CP ngày 27/6/2024 quy định về giá đất; số 88/2024/NĐ-CP ngày 15/7/2024 quy định về bồi thường, hỗ trợ, tái định cư khi Nhà nước thu hồi đất; Số 102/2024/NĐ-CP ngày 30/7/2024 quy định chi tiết thi hành một số điều của Luật Đất đai; số 103/2024/NĐ-CP ngày 30/7/2024 quy định về tiền sử dụng đất, tiền thuê đất; Số 151/2025/NĐ-CP ngày 12/6/2025 của Chính phủ quy định về phân định thẩm quyền của chính quyền địa phương 02 cấp, phân quyền, phân cấp trong lĩnh vực đất đai; số 226/2025/NĐ-CP ngày 15/8/2025 sửa đổi, bổ sung một số điều của các nghị định quy định chi tiết thi hành Luật đất đai;</t>
  </si>
  <si>
    <t xml:space="preserve">- Căn cứ Quyết định số 56/2024/QĐ-UBND ngày 06/9/2024 của UBND TP Hà Nội ban hành Quy định một số nội dung về bồi thường, hỗ trợ, tái định cư khi Nhà nước thu hồi đất trên địa bàn thành phố Hà Nội; số 61/2024/QĐ-UBND ngày 27/9/2024 của UBND TP Hà Nội ban hành Quy định về một số nội dung thuộc lĩnh vực đất đai trên địa bàn thành phố Hà Nội; Số 38/2025/QĐ-UBND ngày 30/6/2025 của UBND thành phố Hà Nội về việc sửa đổi, bổ sung một số điều của Quy định ban hành kèm theo Quyết định số 56/2024/QĐ-UBND ngày 06/9/2024 của UBND Thành phố quy định một số nội dung về bồi thường, hỗ trợ và tái định cư khi Nhà nước thu hồi đất trên địa bàn thành phố Hà Nội; </t>
  </si>
  <si>
    <t>- Căn cứ Quyết định số 30/2019/QĐ-UBND ngày 31/12/2019 của UBND TP Hà Nội ban hành quy định về giá các loại đất trên địa bàn Thành phố Hà Nội áp dụng từ ngày 01/01/2020 đến ngày 31/12/2024; số 71/2024/QĐ-UBND ngày 20/12/2024 của UBND thành phố Hà Nội về việc điều chỉnh, sửa đổi, bổ sung Quyết định số 30/2019/QĐ-UBND ngày 31 tháng 12 năm 2019 của Ủy ban nhân dân thành phố Hà Nội về việc ban hành quy định và bảng giá các loại đất trên địa bàn thành phố Hà Nội áp dụng từ ngày 01/01/2020 đến ngày 31/12/2024 được sửa đổi, bổ sung tại Quyết định số 20/2023/QĐ-UBND ngày 07 tháng 9 năm 2023 của Ủy ban nhân dân thành phố Hà Nội;</t>
  </si>
  <si>
    <t>- Căn cứ Quyết định số 51/2025/QĐ-UBND ngày 21/08/2025 của UBND TP Hà Nội về việc sửa đổi, bổ sung một số điều tại Quyết định số 01/2025/QĐ-UBND ngày 15/01/2025 của UBND Thành phố Hà Nội về việc Ban hành đơn giá xây dựng mới về nhà, nhà ở, công trình xây dựng gắn liền với đất để làm căn cứ tính bồi thường thiệt hại khi Nhà nước thu hồi đất trên địa bàn thành phố Hà Nội;</t>
  </si>
  <si>
    <t>- Căn cứ Thông báo số 275/TB-SNN ngày 31/12/2024 của Sở Nông nghiệp và Phát triển nông thôn thành phố Hà Nội quy định Mức giá tối đa làm cơ sở tính bồi thường, hỗ trợ cho từng nhóm cây trồng, vật nuôi là thủy sản không di chuyển được khi Nhà nước thu hồi đất năm 2025;</t>
  </si>
  <si>
    <t>- Căn cứ Thông báo số 36/TB-UBND ngày 27/8/2025 của UBND xã Hòa Xá về việc Thu hồi đất đối với 01 hộ gia đình, cá nhân và điều chỉnh, bổ sung nội dung tại 30 Thông báo thu hồi đất để thực hiện dự án: Đầu tư Nâng cấp, mở rộng Quốc lộ 21B đoạn từ thị trấn Vân Đình tới đường tỉnh 424 (76cũ), địa phận huyện Ứng Hòa (đoạn qua địa bàn xã Hòa Xá);</t>
  </si>
  <si>
    <t>- Căn cứ Biên bản kiểm đếm ngày 04/06/2024;</t>
  </si>
  <si>
    <t>- Căn cứ Phiếu xác định ngày 24/07/2024 của UBND xã Vạn Thái (nay là xã UBND Hòa Xá) về nguồn gốc sử dụng đất và tài sản gắn liền với đất phục vụ công tác giải phóng mặt bằng.</t>
  </si>
  <si>
    <t>1/ Họ và tên người có đất thu hồi (hoặc ủy quyền theo quy định của pháp luật): Hộ ông Nguyễn Ngọc Kính</t>
  </si>
  <si>
    <t xml:space="preserve">   Họ và tên người sở hữu tài sản trên đất (hoặc ủy quyền theo quy định của pháp luật): Hộ ông Nguyễn Ngọc Kính</t>
  </si>
  <si>
    <t>- Số định danh cá nhân: 001072035930</t>
  </si>
  <si>
    <t xml:space="preserve">Cấp ngày: </t>
  </si>
  <si>
    <t>- Địa chỉ thường trú: Thôn Thái Bình, xã Hòa Xá, thành phố Hà Nội;</t>
  </si>
  <si>
    <t>0973826398</t>
  </si>
  <si>
    <t>- Nơi ở hiện nay: Thôn Thái Bình, xã Hòa Xá, thành phố Hà Nội;</t>
  </si>
  <si>
    <t xml:space="preserve"> * Địa chỉ thửa đất thu hồi: Thửa đất số 18, tờ bản đồ số 1, Đồng Tràng Học, thôn Thái Bình, xã Hòa Xá, thành phố Hà Nội (Bản đồ phục vụ công tác BTHT&amp;TĐC); Loại đất: Đất chuyên trồng lúa (LUC).</t>
  </si>
  <si>
    <t xml:space="preserve"> * Tổng diện tích đất nông nghiệp hộ gia đình được giao sử dụng:</t>
  </si>
  <si>
    <t xml:space="preserve"> * Diện tích đất nông nghiệp đã bị thu hồi vào dự án trước:</t>
  </si>
  <si>
    <t xml:space="preserve"> * Tổng diện tích đất đất nông nghiệp hộ gia đình được giao hiện đang sử dụng:</t>
  </si>
  <si>
    <r>
      <t xml:space="preserve"> * Nguồn gốc, thời gian sử dụng đất:
  </t>
    </r>
    <r>
      <rPr>
        <sz val="14"/>
        <rFont val="Times New Roman"/>
        <family val="1"/>
      </rPr>
      <t>Diện tích đất nông nghiệp 720,3m</t>
    </r>
    <r>
      <rPr>
        <vertAlign val="superscript"/>
        <sz val="14"/>
        <rFont val="Times New Roman"/>
        <family val="1"/>
      </rPr>
      <t>2</t>
    </r>
    <r>
      <rPr>
        <sz val="14"/>
        <rFont val="Times New Roman"/>
        <family val="1"/>
      </rPr>
      <t xml:space="preserve"> bị thu hồi thực hiện dự án, có nguồn gốc: Nhận chuyển nhượng đất nông nghiệp của hộ ông Đoàn Xuân Kình được giao theo Nghị định 64/NĐ-CP (theo Giấy chuyển nhượng lập ngày 14/02/2004 giữa ông Đoàn Xuân Kính và ông Nguyễn Ngọc Kình, có xác nhận của Trưởng xóm 4, Chủ nhiệm HTX, Trưởng thôn Thái Bình).
</t>
    </r>
  </si>
  <si>
    <t xml:space="preserve"> Công trình, vật kiến trúc: </t>
  </si>
  <si>
    <t xml:space="preserve">Cây trồng, vật nuôi là thủy sản: </t>
  </si>
  <si>
    <t xml:space="preserve">Hỗ trợ ổn định đời sống và ổn định sản xuất khi thu hồi đất nông nghiệp (thực hiện theo QĐ số 56/2024/QĐ-UBND ngày 06/9/2024 của UBND thành phố Hà Nội </t>
  </si>
  <si>
    <t>10 nhân khẩu*30kg gạo*16000đ/kg gạo*6 tháng</t>
  </si>
  <si>
    <t>Thưởng tiến độ bàn giao mặt bằng: 3.000đ/m2 và không quá 3.000.000 đ/chủ sử dụng đất (khoản 1, điều 18 Quyết định số 56/2024/QĐ-UBND ngày 06/9/2024 của UBND thành phố Hà Nội).</t>
  </si>
  <si>
    <t>Hộ ông Nguyễn Ngọc Kính</t>
  </si>
  <si>
    <t>Thôn Thái Bình</t>
  </si>
  <si>
    <t>Đồng Tràng Học</t>
  </si>
  <si>
    <t xml:space="preserve"> 001072035930</t>
  </si>
  <si>
    <t>I. CĂN CỨ PHÁP LÝ:</t>
  </si>
  <si>
    <t>- Căn cứ Quyết định số 473/QĐ-UBND ngày 19/9/2025 của UBND xã Hòa Xá phê duyệt mức hỗ trợ ổn định đời sống đối với hộ gia đình, cá nhân bị thu hồi dưới 30% diện tích đất nông nghiệp đang sử dụng khi Nhà nước thu hồi đất để thực hiện các dự án trên địa bàn xã Hoà Xá;</t>
  </si>
  <si>
    <t>- Căn cứ Thông báo số 36/TB-UBND ngày 27/8/2025 của xã Hòa Xá về việc điều chỉnh, bổ sung, gia hạn Thông báo thu hồi đất của UBND huyện Ứng Hòa để thực hiện dự án: Đầu tư Nâng cấp, mở rộng Quốc lộ 21B đoạn từ thị trấn Vân Đình tới đường Tỉnh lộ 424 (76 cũ), địa phận huyện Ứng Hòa (địa bàn xã Hòa Xá);</t>
  </si>
  <si>
    <t>- Căn cứ Biên bản kiểm đếm ngày 30/11/2023;</t>
  </si>
  <si>
    <t>- Căn cứ Phiếu xác định ngày 28/9/2025 về nguồn gốc sử dụng đất và tài sản gắn liền với đất phục vụ công tác giải phóng mặt bằng.</t>
  </si>
  <si>
    <t>1. Họ và tên người có đất thu hồi (hoặc ủy quyền theo quy định của pháp luật): Hộ ông Ngô Văn Lẫm</t>
  </si>
  <si>
    <t xml:space="preserve">   Họ và tên người sở hữu tài sản trên đất (hoặc ủy quyền theo quy định của pháp luật): Hộ ông Ngô Văn Lẫm</t>
  </si>
  <si>
    <t>- Số định danh cá nhân: 001057032851</t>
  </si>
  <si>
    <t>Cấp ngày: 31/12/2021</t>
  </si>
  <si>
    <t>0387.145.327</t>
  </si>
  <si>
    <t>2. Thông tin về thửa đất:</t>
  </si>
  <si>
    <t xml:space="preserve"> * Địa chỉ thửa đất thu hồi: Thửa đất số 1, tờ bản đồ số 3, Đồng Tràng Học, thôn Thái Bình, xã Hòa Xá, thành phố Hà Nội (Bản đồ phục vụ công tác BTHT&amp;TĐC); Loại đất: Đất chuyên trồng lúa (LUC).</t>
  </si>
  <si>
    <t xml:space="preserve"> * Tổng diện tích đất đất nông nghiệp hộ gia đình đang sử dụng (Trong đó: diện tích được giao: 2034,0m²; diện tích nhận chuyển nhượng: 93,6m²):</t>
  </si>
  <si>
    <t>m²</t>
  </si>
  <si>
    <t xml:space="preserve">m²; </t>
  </si>
  <si>
    <t>m²;</t>
  </si>
  <si>
    <t xml:space="preserve"> Công trình, vật kiến trúc: Đất chưa được cơ quan Nhà nước cho phép chuyển đổi mục đích sử dụng đất. Căn cứ Điều 81, Điều 105 Luật Đất đai năm 2024, không được bồi thường tài sản gắn liền với đất khi Nhà nước thu hồi đất</t>
  </si>
  <si>
    <t>Nhà 1 tầng, tường xây gạch 110, cao 3,2m, mái lợp tôn, nền lát gạch ceramic, không có khu phụ</t>
  </si>
  <si>
    <t>Mái lợp tôn</t>
  </si>
  <si>
    <r>
      <t xml:space="preserve">Rèm tôn 
</t>
    </r>
    <r>
      <rPr>
        <i/>
        <sz val="14"/>
        <rFont val="Times New Roman"/>
        <family val="1"/>
      </rPr>
      <t>(Vận dụng đơn giá mái vẩy ngói hoặc tôn)</t>
    </r>
  </si>
  <si>
    <t>Tỷ lệ (%)/Số tháng</t>
  </si>
  <si>
    <t>Hỗ trợ ổn định đời sống và ổn định sản xuất khi thu hồi đất nông nghiệp (thực hiện theo QĐ số 473/QĐ-UBND ngày 19/9/2025 của UBND xã Hoà Xá) (Số nhân khẩu*30kg gạo*16.000đ/kg gạo*số tháng)</t>
  </si>
  <si>
    <t>Thưởng tiến độ bàn giao mặt bằng: 3.000đ/m² và không quá 3.000.000 đ/chủ sử dụng đất (khoản 1, điều 18 Quyết định số 56/2024/QĐ-UBND ngày 06/9/2024 của UBND thành phố Hà Nội)</t>
  </si>
  <si>
    <t>- Căn cứ Biên bản kiểm đếm ngày 04/12/2023;</t>
  </si>
  <si>
    <t xml:space="preserve">1. Họ và tên người có đất thu hồi (hoặc ủy quyền theo quy định của pháp luật): Ông Ngô Văn Tuấn và bà Đoàn Thị Hiên </t>
  </si>
  <si>
    <t xml:space="preserve">   Họ và tên người sở hữu tài sản trên đất (hoặc ủy quyền theo quy định của pháp luật): Ông Ngô Văn Tuấn và bà Đoàn Thị Hiên </t>
  </si>
  <si>
    <t>- Số định danh cá nhân: 001075020006</t>
  </si>
  <si>
    <t>- Địa chỉ thường trú: Tổ 11, phường Định Công, quận Hoàng Mai (nay là phường Định Công), thành phố Hà Nội;</t>
  </si>
  <si>
    <t>- Nơi ở hiện nay: Tổ 11, phường Định Công, quận Hoàng Mai (nay là phường Định Công), thành phố Hà Nội;</t>
  </si>
  <si>
    <t xml:space="preserve"> * Địa chỉ thửa đất thu hồi: Thửa đất số 2, tờ bản đồ số 3, Đồng Tràng Học, thôn Thái Bình, xã Hòa Xá, thành phố Hà Nội (Bản đồ phục vụ công tác BTHT&amp;TĐC); Loại đất: Đất chuyên trồng lúa (LUC).</t>
  </si>
  <si>
    <t xml:space="preserve"> * Tổng diện tích đất đất nông nghiệp hộ gia đình đang sử dụng (Trong đó: diện tích được giao: 1325,5m²; diện tích nhận chuyển nhượng: 144,5m²):</t>
  </si>
  <si>
    <r>
      <t xml:space="preserve"> * Nguồn gốc, thời gian sử dụng đất: 
</t>
    </r>
    <r>
      <rPr>
        <sz val="14"/>
        <rFont val="Times New Roman"/>
        <family val="1"/>
      </rPr>
      <t xml:space="preserve">- Thửa đất nông nghiệp hộ ông Ngô Văn Tuấn và bà Đoàn Thị Hiên đang sử dụng nằm trong quy hoạch dự án: thuộc thửa số 2, tờ bản đồ số 3, diện tích 144,5m², loại đất nông nghiệp (LUC), tại xứ đồng Tràng Học, thôn Thái Bình, xã Hòa Xá, thành phố Hà Nội (Theo bản đồ GPMB).
 - Nguồn gốc: Nhận chuyển nhượng quyền sử dụng đất từ đất nông nghiệp hộ ông Ngô Văn Nhiễm được giao theo Nghị định 64/NĐ-CP (hộ ông Nhiễm được giao tại xứ đồng Tràng Học diện tích 1944,0m², tiếp giáp với mặt đường Quốc Lộ 21B).
Giấy chuyển nhượng quyền sử dụng đất ngày 21/11/2008, thể hiện: hộ gia đình ông Ngô Văn Nhiễm chuyển nhượng QSD đất và căn nhà cấp 4 cho ông Ngô Văn Tuấn và bà Đoàn Thị Hiên với chiều ngang 4,0m giáp với đường Quốc lộ 21B, chiều dài từ Quốc lộ 21B đến hết khổ đất tới ngõ đi vào trong nhà (giấy chuyển nhượng đất có chữ ký của hai bên và người làm chứng).
</t>
    </r>
  </si>
  <si>
    <t>Kết luận:
- Diện tích đất đang sử dụng: 144,5m² (thửa đất số 2, tờ bản đồ số 3, bản đồ GPMB).
- Diện tích đất thu hồi thực hiện dự án: 16,4m² có nguồn gốc là đất Nhận chuyển nhượng QSD đất từ đất nông nghiệp hộ gia đình được giao theo Nghị định 64/NĐ-CP.
- Diện tích đất còn lại: 128,1m².</t>
  </si>
  <si>
    <t>Mái lợp tôn khung sắt</t>
  </si>
  <si>
    <t>1. Họ và tên người có đất thu hồi (hoặc ủy quyền theo quy định của pháp luật): Hộ ông Nguyễn Văn Năm và bà Ngô Thị Lơ (mẹ ông Năm)</t>
  </si>
  <si>
    <t xml:space="preserve">   Họ và tên người sở hữu tài sản trên đất (hoặc ủy quyền theo quy định của pháp luật): Hộ ông Nguyễn Văn Năm và bà Ngô Thị Lơ (mẹ ông Năm)</t>
  </si>
  <si>
    <t>- Số định danh cá nhân: 001080036488</t>
  </si>
  <si>
    <t>Cấp ngày: 24/04/2021</t>
  </si>
  <si>
    <t>- Địa chỉ thường trú: TDP số 18, phường Trung Văn, quận Nam Từ Liêm, thành phố Hà Nội;</t>
  </si>
  <si>
    <t>0978.667.631</t>
  </si>
  <si>
    <t>- Nơi ở hiện nay: TDP số 18, phường Trung Văn, quận Nam Từ Liêm, thành phố Hà Nội;</t>
  </si>
  <si>
    <t xml:space="preserve"> * Địa chỉ thửa đất thu hồi: Thửa đất số 3, tờ bản đồ số 3, Đồng Tràng Học, thôn Thái Bình, xã Hòa Xá, thành phố Hà Nội (Bản đồ phục vụ công tác BTHT&amp;TĐC); Loại đất: Đất chuyên trồng lúa (LUC).</t>
  </si>
  <si>
    <t xml:space="preserve"> * Tổng diện tích đất đất nông nghiệp hộ gia đình đang sử dụng (Trong đó: diện tích được giao: 396,0m²; diện tích nhận chuyển nhượng: 137,6m²):</t>
  </si>
  <si>
    <r>
      <t xml:space="preserve"> * Nguồn gốc, thời gian sử dụng đất: 
</t>
    </r>
    <r>
      <rPr>
        <sz val="14"/>
        <rFont val="Times New Roman"/>
        <family val="1"/>
      </rPr>
      <t xml:space="preserve">- Thửa đất nông nghiệp hộ ông Nguyễn Văn Năm và bà Ngô Thị Lơ (mẹ ông Năm) đang sử dụng nằm trong quy hoạch dự án: thuộc thửa số 3, tờ bản đồ số 3, diện tích 138,6m², loại đất nông nghiệp (LUC), tại xứ đồng Tràng Học, thôn Thái Bình, xã Hòa Xá, thành phố Hà Nội (Theo bản đồ GPMB).
 - Nguồn gốc: Nhận chuyển nhượng quyền sử dụng đất từ đất nông nghiệp hộ ông Ngô Văn Nhiễm được giao theo Nghị định 64/NĐ-CP (hộ ông Nhiễm được giao tại xứ đồng Tràng Học diện tích 1944,0m², tiếp giáp với mặt đường Quốc Lộ 21B).
Giấy chuyển nhượng đất ngày 23/11/2010, thể hiện: hộ gia đình ông Ngô Văn Nhiễm chuyển nhượng QSD đất cho bà Ngô Thị Lơ cùng con trai bà Lơ là ông Nguyễn Văn Năm với diện tích 137,6m², có mặt tiềchiều ngang 3,9m giáp với đường Quốc lộ 21B, chiều dài từ đường Quốc lộ 21B vào (phía Bắc giáp ông Tuấn 35,3m, phía Nam giáp ông Nhiễm 35,3m). Giấy chuyển nhượng đất viết tay có chữ ký của hai bên và người làm chứng.
</t>
    </r>
  </si>
  <si>
    <t>Kết luận:
- Diện tích đất đang sử dụng: 138,6m² (thửa đất số 3, tờ bản đồ số 3, bản đồ GPMB).
- Diện tích đất thu hồi thực hiện dự án: 8,8m² có nguồn gốc là đất Nhận chuyển nhượng QSD đất từ đất nông nghiệp hộ gia đình được giao theo Nghị định 64/NĐ-CP.
- Diện tích đất còn lại: 129,8m².</t>
  </si>
  <si>
    <t>Sân bê tông</t>
  </si>
  <si>
    <t>1. Họ và tên người có đất thu hồi (hoặc ủy quyền theo quy định của pháp luật): Hộ bà Ngô Thị Hà</t>
  </si>
  <si>
    <t xml:space="preserve">   Họ và tên người sở hữu tài sản trên đất (hoặc ủy quyền theo quy định của pháp luật): Hộ bà Ngô Thị Hà</t>
  </si>
  <si>
    <t>- Số định danh cá nhân:</t>
  </si>
  <si>
    <t>0974311238</t>
  </si>
  <si>
    <t xml:space="preserve"> * Địa chỉ thửa đất thu hồi: Thửa đất số 4, tờ bản đồ số 3, Đồng Tràng Học, thôn Thái Bình, xã Hòa Xá, thành phố Hà Nội (Bản đồ phục vụ công tác BTHT&amp;TĐC); Loại đất: Đất chuyên trồng lúa (LUC).</t>
  </si>
  <si>
    <r>
      <rPr>
        <b/>
        <sz val="14"/>
        <rFont val="Times New Roman"/>
        <family val="1"/>
      </rPr>
      <t xml:space="preserve"> * Nguồn gốc, thời gian sử dụng đất:</t>
    </r>
    <r>
      <rPr>
        <sz val="14"/>
        <rFont val="Times New Roman"/>
        <family val="1"/>
      </rPr>
      <t xml:space="preserve">
- Thửa đất nông nghiệp hộ bà Ngô Thị Hà đang sử dụng nằm trong quy hoạch dự án: thuộc thửa số 2, tờ bản đồ số 3, diện tích 145,6m², loại đất nông nghiệp (LUC), tại xứ đồng Tràng Học, thôn Thái Bình, xã Hòa Xá, thành phố Hà Nội (Theo bản đồ GPMB).
 - Nguồn gốc: Bà Ngô Thị Hà được giao ruộng theo Nghị định 64/NĐ-CP trong hộ ông Ngô Văn Nhiễm, quá trình sử dụng đất ông Ngô Văn Nhiễm chia tách cho bà Ngô Thị Hà (con gái ông Nhiễm) phần đất theo định xuất bà Hà được giao ruộng tại xứ đồng Tràng Học, tiếp giáp mặt đường 21B.
Kết luận:
- Diện tích đất đang sử dụng: 145,6m² (thửa đất số 4, tờ bản đồ số 3, bản đồ GPMB).
- Diện tích đất thu hồi thực hiện dự án: 3,1m² có nguồn gốc là đất nông nghiệp được giao theo Nghị định 64/NĐ-CP.
- Diện tích đất còn lại: 142,5m².</t>
    </r>
  </si>
  <si>
    <r>
      <t xml:space="preserve">Tường xây gạch ba vanh 
</t>
    </r>
    <r>
      <rPr>
        <i/>
        <sz val="14"/>
        <rFont val="Times New Roman"/>
        <family val="1"/>
      </rPr>
      <t>(Vận dụng theo đơn giá xây tường rào gạch đá ong)</t>
    </r>
  </si>
  <si>
    <t>Số: 08/PACT</t>
  </si>
  <si>
    <t>Số: 09/PACT</t>
  </si>
  <si>
    <t>Số: 10/PACT</t>
  </si>
  <si>
    <t>Số: 11/PACT</t>
  </si>
  <si>
    <t>Số: 12/PACT</t>
  </si>
  <si>
    <t>Hộ ông Ngô Văn Lẫm</t>
  </si>
  <si>
    <t xml:space="preserve">Ông Ngô Văn Tuấn và bà Đoàn Thị Hiên </t>
  </si>
  <si>
    <t>Hộ ông Nguyễn Văn Năm và bà Ngô Thị Lơ (mẹ ông Năm)</t>
  </si>
  <si>
    <t>Hộ bà Ngô Thị Hà</t>
  </si>
  <si>
    <t xml:space="preserve"> * Địa chỉ thửa đất thu hồi: Thửa đất số 12, 13; tờ bản đồ số 3, Đồng Cửa Cầu, xã Hòa Xá, thành phố Hà Nội (Bản đồ phục vụ công tác BTHT&amp;TĐC); Loại đất: Đất chuyên trồng lúa (LUC).</t>
  </si>
  <si>
    <t xml:space="preserve"> Đơn giá (đồng/m2) </t>
  </si>
  <si>
    <t>- Căn cứ Biên bản cuộc họp Hội đồng thẩm định giá đất cụ thể ngày 28/10/2025; Báo cáo thuyết minh xây dựng phương án giá đất, Chứng thư định giá đất số 030/CT-ĐGD ngày 29/10/2025 của Công ty TNHH thẩm định giá VALUE CONTROL Việt Nam (VCVN); Văn bản số 01/HĐĐG ngày 29/10/2025 của Hội đồng thẩm định giá đất cụ thể xã Hoà Xá về việc thẩm định phương án giá đất;</t>
  </si>
  <si>
    <r>
      <t xml:space="preserve"> * Nguồn gốc, thời gian sử dụng đất: 
</t>
    </r>
    <r>
      <rPr>
        <sz val="14"/>
        <rFont val="Times New Roman"/>
        <family val="1"/>
      </rPr>
      <t>- Thửa đất nông nghiệp hộ ông Ngô Văn Lẫm đang sử dụng nằm trong quy hoạch dự án: thuộc thửa số 1, tờ bản đồ số 3, diện tích 93,6m², loại đất nông nghiệp (LUC), tại xứ đồng Tràng Học, thôn Thái Bình, xã Hòa Xá, thành phố Hà Nội (Theo bản đồ GPMB).
 - Nguồn gốc: Nhận chuyển nhượng quyền sử dụng đất từ đất nông nghiệp hộ ông Ngô Văn Nhu được giao theo Nghị định 64/NĐ-CP (hộ ông Nhu được giao đất tại xứ đồng Tràng Học, tiếp giáp với mặt đường Quốc Lộ 21B).
Giấy biên nhận giao tiền ngày 06/8/2013, thể hiện: hộ ông Ngô Văn Nhu nhận tiền của việc chuyển quyền sử dụng đất, tài sản trên đất, thuộc mảnh khu vực Gốc Đa (đồng Tràng Học) và bàn giao quyền sử dụng đất, tài sản trên đất cho hộ ông Ngô Văn Lẫm, giấy biên nhận giao tiền viết tay có chữ ký của hai bên và người làm chứng.</t>
    </r>
  </si>
  <si>
    <r>
      <rPr>
        <sz val="14"/>
        <rFont val="Times New Roman"/>
        <family val="1"/>
      </rPr>
      <t>Kết luận:
- Diện tích đất đang sử dụng: 93,6m² (thửa đất số 1, tờ bản đồ số 3, bản đồ GPMB).
- Diện tích đất thu hồi thực hiện dự án: 25,1m² có nguồn gốc là đất Nhận chuyển nhượng QSD đất từ đất nông nghiệp hộ gia đình được giao theo Nghị định 64/NĐ-CP.
- Diện tích đất còn lại: 68,5m².</t>
    </r>
    <r>
      <rPr>
        <b/>
        <sz val="14"/>
        <rFont val="Times New Roman"/>
        <family val="1"/>
      </rPr>
      <t xml:space="preserve">
</t>
    </r>
  </si>
  <si>
    <r>
      <t xml:space="preserve"> * Nguồn gốc, thời gian sử dụng đất: </t>
    </r>
    <r>
      <rPr>
        <sz val="14"/>
        <rFont val="Times New Roman"/>
        <family val="1"/>
      </rPr>
      <t xml:space="preserve">
Diện tích đất hộ ông Phùng Văn Long được chuyển về sử dụng tại đồng Cửa Cầu, diện tích 1.006,0m</t>
    </r>
    <r>
      <rPr>
        <vertAlign val="superscript"/>
        <sz val="14"/>
        <rFont val="Times New Roman"/>
        <family val="1"/>
      </rPr>
      <t>2</t>
    </r>
    <r>
      <rPr>
        <sz val="14"/>
        <rFont val="Times New Roman"/>
        <family val="1"/>
      </rPr>
      <t>, như sau:
- Thửa đất không nằm trong quy hoạch dự án: 123,8m</t>
    </r>
    <r>
      <rPr>
        <vertAlign val="superscript"/>
        <sz val="14"/>
        <rFont val="Times New Roman"/>
        <family val="1"/>
      </rPr>
      <t>2</t>
    </r>
    <r>
      <rPr>
        <sz val="14"/>
        <rFont val="Times New Roman"/>
        <family val="1"/>
      </rPr>
      <t>.
- Thửa đất nằm trong quy hoạch dự án: 882.2m</t>
    </r>
    <r>
      <rPr>
        <vertAlign val="superscript"/>
        <sz val="14"/>
        <rFont val="Times New Roman"/>
        <family val="1"/>
      </rPr>
      <t>2</t>
    </r>
    <r>
      <rPr>
        <sz val="14"/>
        <rFont val="Times New Roman"/>
        <family val="1"/>
      </rPr>
      <t xml:space="preserve"> (thửa đất số 2, tờ bản đồ số 3).
+ Diện tích đất thu hồi thực hiện dự án: 345,8m</t>
    </r>
    <r>
      <rPr>
        <vertAlign val="superscript"/>
        <sz val="14"/>
        <rFont val="Times New Roman"/>
        <family val="1"/>
      </rPr>
      <t>2</t>
    </r>
    <r>
      <rPr>
        <sz val="14"/>
        <rFont val="Times New Roman"/>
        <family val="1"/>
      </rPr>
      <t xml:space="preserve"> có nguồn gốc là đất nông nghiệp được giao theo Nghị định 64/CP của Chính phủ (trong diện tích 1.006,0m</t>
    </r>
    <r>
      <rPr>
        <vertAlign val="superscript"/>
        <sz val="14"/>
        <rFont val="Times New Roman"/>
        <family val="1"/>
      </rPr>
      <t>2</t>
    </r>
    <r>
      <rPr>
        <sz val="14"/>
        <rFont val="Times New Roman"/>
        <family val="1"/>
      </rPr>
      <t xml:space="preserve"> được chuyển từ xứ đồng khác về đồng Cửa cầu).</t>
    </r>
  </si>
  <si>
    <r>
      <t xml:space="preserve"> </t>
    </r>
    <r>
      <rPr>
        <sz val="14"/>
        <rFont val="Times New Roman"/>
        <family val="1"/>
      </rPr>
      <t xml:space="preserve"> + Diện tích đất còn lại: 536,4m</t>
    </r>
    <r>
      <rPr>
        <vertAlign val="superscript"/>
        <sz val="14"/>
        <rFont val="Times New Roman"/>
        <family val="1"/>
      </rPr>
      <t>2</t>
    </r>
    <r>
      <rPr>
        <sz val="14"/>
        <rFont val="Times New Roman"/>
        <family val="1"/>
      </rPr>
      <t>.
 (Tổng diện tích đất còn lại sử dụng sau thu hồi tại đồng Cửa cầu của hộ gia đình ông Long là 660,2m</t>
    </r>
    <r>
      <rPr>
        <vertAlign val="superscript"/>
        <sz val="14"/>
        <rFont val="Times New Roman"/>
        <family val="1"/>
      </rPr>
      <t>2</t>
    </r>
    <r>
      <rPr>
        <sz val="14"/>
        <rFont val="Times New Roman"/>
        <family val="1"/>
      </rPr>
      <t>, gồm: 536,4m</t>
    </r>
    <r>
      <rPr>
        <vertAlign val="superscript"/>
        <sz val="14"/>
        <rFont val="Times New Roman"/>
        <family val="1"/>
      </rPr>
      <t>2</t>
    </r>
    <r>
      <rPr>
        <sz val="14"/>
        <rFont val="Times New Roman"/>
        <family val="1"/>
      </rPr>
      <t xml:space="preserve"> của thửa đất bị thu hồi và 123,8m</t>
    </r>
    <r>
      <rPr>
        <vertAlign val="superscript"/>
        <sz val="14"/>
        <rFont val="Times New Roman"/>
        <family val="1"/>
      </rPr>
      <t>2</t>
    </r>
    <r>
      <rPr>
        <sz val="14"/>
        <rFont val="Times New Roman"/>
        <family val="1"/>
      </rPr>
      <t xml:space="preserve"> thửa đất tiếp giáp với thửa đất bị thu hồi).
</t>
    </r>
  </si>
  <si>
    <r>
      <t xml:space="preserve"> * Nguồn gốc, thời gian sử dụng đất: 
</t>
    </r>
    <r>
      <rPr>
        <sz val="14"/>
        <rFont val="Times New Roman"/>
        <family val="1"/>
      </rPr>
      <t>Diện tích đất hộ ông Nguyễn Văn Tùng đang sử dụng tại đồng Cửa Cầu, diện tích 1.517,0m</t>
    </r>
    <r>
      <rPr>
        <vertAlign val="superscript"/>
        <sz val="14"/>
        <rFont val="Times New Roman"/>
        <family val="1"/>
      </rPr>
      <t>2</t>
    </r>
    <r>
      <rPr>
        <sz val="14"/>
        <rFont val="Times New Roman"/>
        <family val="1"/>
      </rPr>
      <t xml:space="preserve"> (trong đó có 120,0m</t>
    </r>
    <r>
      <rPr>
        <vertAlign val="superscript"/>
        <sz val="14"/>
        <rFont val="Times New Roman"/>
        <family val="1"/>
      </rPr>
      <t>2</t>
    </r>
    <r>
      <rPr>
        <sz val="14"/>
        <rFont val="Times New Roman"/>
        <family val="1"/>
      </rPr>
      <t xml:space="preserve"> của hộ ông Phùng), như sau:
 - Thửa đất không nằm trong quy hoạch dự án: 342,5m</t>
    </r>
    <r>
      <rPr>
        <vertAlign val="superscript"/>
        <sz val="14"/>
        <rFont val="Times New Roman"/>
        <family val="1"/>
      </rPr>
      <t>2</t>
    </r>
    <r>
      <rPr>
        <sz val="14"/>
        <rFont val="Times New Roman"/>
        <family val="1"/>
      </rPr>
      <t>.
- Thửa đất nằm trong quy hoạch dự án: 1.174,5m</t>
    </r>
    <r>
      <rPr>
        <vertAlign val="superscript"/>
        <sz val="14"/>
        <rFont val="Times New Roman"/>
        <family val="1"/>
      </rPr>
      <t>2</t>
    </r>
    <r>
      <rPr>
        <sz val="14"/>
        <rFont val="Times New Roman"/>
        <family val="1"/>
      </rPr>
      <t xml:space="preserve"> (thửa đất số 7, tờ bản đồ số 3).
+ Diện tích đất thu hồi thực hiện dự án: 494,0m</t>
    </r>
    <r>
      <rPr>
        <vertAlign val="superscript"/>
        <sz val="14"/>
        <rFont val="Times New Roman"/>
        <family val="1"/>
      </rPr>
      <t>2</t>
    </r>
    <r>
      <rPr>
        <sz val="14"/>
        <rFont val="Times New Roman"/>
        <family val="1"/>
      </rPr>
      <t xml:space="preserve"> có nguồn gốc là đất nông nghiệp được giao theo Nghị định 64/CP của Chính phủ (trong diện tích 1.517,0m</t>
    </r>
    <r>
      <rPr>
        <vertAlign val="superscript"/>
        <sz val="14"/>
        <rFont val="Times New Roman"/>
        <family val="1"/>
      </rPr>
      <t>2</t>
    </r>
    <r>
      <rPr>
        <sz val="14"/>
        <rFont val="Times New Roman"/>
        <family val="1"/>
      </rPr>
      <t xml:space="preserve"> được giao tại đồng Cửa cầu và diện tích chuyển từ xứ đồng khác về đồng Cửa cầu).</t>
    </r>
  </si>
  <si>
    <r>
      <rPr>
        <sz val="14"/>
        <rFont val="Times New Roman"/>
        <family val="1"/>
      </rPr>
      <t xml:space="preserve"> + Diện tích đất còn lại: 680,5m</t>
    </r>
    <r>
      <rPr>
        <vertAlign val="superscript"/>
        <sz val="14"/>
        <rFont val="Times New Roman"/>
        <family val="1"/>
      </rPr>
      <t>2</t>
    </r>
    <r>
      <rPr>
        <sz val="14"/>
        <rFont val="Times New Roman"/>
        <family val="1"/>
      </rPr>
      <t>.
 (Tổng diện tích đất còn lại sử dụng sau thu hồi tại đồng Cửa cầu của hộ gia đình ông Tùng là 1.023,0m</t>
    </r>
    <r>
      <rPr>
        <vertAlign val="superscript"/>
        <sz val="14"/>
        <rFont val="Times New Roman"/>
        <family val="1"/>
      </rPr>
      <t>2</t>
    </r>
    <r>
      <rPr>
        <sz val="14"/>
        <rFont val="Times New Roman"/>
        <family val="1"/>
      </rPr>
      <t>, gồm: 680,5m2 của thửa đất bị thu hồi và 342,5m</t>
    </r>
    <r>
      <rPr>
        <vertAlign val="superscript"/>
        <sz val="14"/>
        <rFont val="Times New Roman"/>
        <family val="1"/>
      </rPr>
      <t>2</t>
    </r>
    <r>
      <rPr>
        <sz val="14"/>
        <rFont val="Times New Roman"/>
        <family val="1"/>
      </rPr>
      <t xml:space="preserve"> thửa đất tiếp giáp với thửa đất bị thu hồi).</t>
    </r>
    <r>
      <rPr>
        <b/>
        <sz val="14"/>
        <rFont val="Times New Roman"/>
        <family val="1"/>
      </rPr>
      <t xml:space="preserve">
</t>
    </r>
  </si>
  <si>
    <r>
      <t xml:space="preserve"> * Nguồn gốc, thời gian sử dụng đất: </t>
    </r>
    <r>
      <rPr>
        <sz val="14"/>
        <rFont val="Times New Roman"/>
        <family val="1"/>
      </rPr>
      <t xml:space="preserve">
- Thửa đất không nằm trong quy hoạch dự án: 347,0m</t>
    </r>
    <r>
      <rPr>
        <vertAlign val="superscript"/>
        <sz val="14"/>
        <rFont val="Times New Roman"/>
        <family val="1"/>
      </rPr>
      <t>2</t>
    </r>
    <r>
      <rPr>
        <sz val="14"/>
        <rFont val="Times New Roman"/>
        <family val="1"/>
      </rPr>
      <t>.
- Thửa đất nằm trong quy hoạch dự án: 508,0m</t>
    </r>
    <r>
      <rPr>
        <vertAlign val="superscript"/>
        <sz val="14"/>
        <rFont val="Times New Roman"/>
        <family val="1"/>
      </rPr>
      <t>2</t>
    </r>
    <r>
      <rPr>
        <sz val="14"/>
        <rFont val="Times New Roman"/>
        <family val="1"/>
      </rPr>
      <t xml:space="preserve"> (thửa đất số 24, tờ bản đồ số 2).
+ Diện tích đất thu hồi thực hiện dự án: 403,7m</t>
    </r>
    <r>
      <rPr>
        <vertAlign val="superscript"/>
        <sz val="14"/>
        <rFont val="Times New Roman"/>
        <family val="1"/>
      </rPr>
      <t>2</t>
    </r>
    <r>
      <rPr>
        <sz val="14"/>
        <rFont val="Times New Roman"/>
        <family val="1"/>
      </rPr>
      <t xml:space="preserve"> có nguồn gốc là đất nông nghiệp được giao theo Nghị định 64/CP của Chính phủ (trong diện tích 855,0m</t>
    </r>
    <r>
      <rPr>
        <vertAlign val="superscript"/>
        <sz val="14"/>
        <rFont val="Times New Roman"/>
        <family val="1"/>
      </rPr>
      <t>2</t>
    </r>
    <r>
      <rPr>
        <sz val="14"/>
        <rFont val="Times New Roman"/>
        <family val="1"/>
      </rPr>
      <t xml:space="preserve"> được chuyển về sử dụng tại đồng Cửa Cầu):</t>
    </r>
  </si>
  <si>
    <r>
      <rPr>
        <sz val="14"/>
        <rFont val="Times New Roman"/>
        <family val="1"/>
      </rPr>
      <t xml:space="preserve"> + Diện tích đất còn lại: 104,3m</t>
    </r>
    <r>
      <rPr>
        <vertAlign val="superscript"/>
        <sz val="14"/>
        <rFont val="Times New Roman"/>
        <family val="1"/>
      </rPr>
      <t>2</t>
    </r>
    <r>
      <rPr>
        <sz val="14"/>
        <rFont val="Times New Roman"/>
        <family val="1"/>
      </rPr>
      <t xml:space="preserve">
 (Tổng diện tích đất còn lại sau thu hồi tại đồng Cửa cầu của hộ gia đình ông Tịnh là 451,3m</t>
    </r>
    <r>
      <rPr>
        <vertAlign val="superscript"/>
        <sz val="14"/>
        <rFont val="Times New Roman"/>
        <family val="1"/>
      </rPr>
      <t>2</t>
    </r>
    <r>
      <rPr>
        <sz val="14"/>
        <rFont val="Times New Roman"/>
        <family val="1"/>
      </rPr>
      <t>, gồm: 104,3m</t>
    </r>
    <r>
      <rPr>
        <vertAlign val="superscript"/>
        <sz val="14"/>
        <rFont val="Times New Roman"/>
        <family val="1"/>
      </rPr>
      <t>2</t>
    </r>
    <r>
      <rPr>
        <sz val="14"/>
        <rFont val="Times New Roman"/>
        <family val="1"/>
      </rPr>
      <t xml:space="preserve"> của thửa đất bị thu hồi và 347,0m</t>
    </r>
    <r>
      <rPr>
        <vertAlign val="superscript"/>
        <sz val="14"/>
        <rFont val="Times New Roman"/>
        <family val="1"/>
      </rPr>
      <t>2</t>
    </r>
    <r>
      <rPr>
        <sz val="14"/>
        <rFont val="Times New Roman"/>
        <family val="1"/>
      </rPr>
      <t xml:space="preserve"> thửa đất tiếp giáp với thửa đất bị thu hồi).
</t>
    </r>
  </si>
  <si>
    <r>
      <t xml:space="preserve"> * Nguồn gốc, thời gian sử dụng đất: 
</t>
    </r>
    <r>
      <rPr>
        <sz val="14"/>
        <rFont val="Times New Roman"/>
        <family val="1"/>
      </rPr>
      <t>- Tổng diện tích đất đang sử dụng: 1.041,0m</t>
    </r>
    <r>
      <rPr>
        <vertAlign val="superscript"/>
        <sz val="14"/>
        <rFont val="Times New Roman"/>
        <family val="1"/>
      </rPr>
      <t>2</t>
    </r>
    <r>
      <rPr>
        <sz val="14"/>
        <rFont val="Times New Roman"/>
        <family val="1"/>
      </rPr>
      <t xml:space="preserve"> (thửa đất số 16, tờ bản đồ số 2).
- Diện tích đất thu hồi thực hiện dự án: 198,9m</t>
    </r>
    <r>
      <rPr>
        <vertAlign val="superscript"/>
        <sz val="14"/>
        <rFont val="Times New Roman"/>
        <family val="1"/>
      </rPr>
      <t>2</t>
    </r>
    <r>
      <rPr>
        <sz val="14"/>
        <rFont val="Times New Roman"/>
        <family val="1"/>
      </rPr>
      <t xml:space="preserve"> có nguồn gốc là đất nông nghiệp được giao theo Nghị định 64/CP của Chính phủ (trong diện tích 689,0m</t>
    </r>
    <r>
      <rPr>
        <vertAlign val="superscript"/>
        <sz val="14"/>
        <rFont val="Times New Roman"/>
        <family val="1"/>
      </rPr>
      <t>2</t>
    </r>
    <r>
      <rPr>
        <sz val="14"/>
        <rFont val="Times New Roman"/>
        <family val="1"/>
      </rPr>
      <t xml:space="preserve"> được chuyển về sử dụng tại đồng Cửa Cầu):
 - Diện tích đất còn lại: 842,1m</t>
    </r>
    <r>
      <rPr>
        <vertAlign val="superscript"/>
        <sz val="14"/>
        <rFont val="Times New Roman"/>
        <family val="1"/>
      </rPr>
      <t>2</t>
    </r>
    <r>
      <rPr>
        <sz val="14"/>
        <rFont val="Times New Roman"/>
        <family val="1"/>
      </rPr>
      <t>, gồm:
 + 490,1m</t>
    </r>
    <r>
      <rPr>
        <vertAlign val="superscript"/>
        <sz val="14"/>
        <rFont val="Times New Roman"/>
        <family val="1"/>
      </rPr>
      <t>2</t>
    </r>
    <r>
      <rPr>
        <sz val="14"/>
        <rFont val="Times New Roman"/>
        <family val="1"/>
      </rPr>
      <t xml:space="preserve"> đất nông nghiệp được giao theo Nghị định 64/CP của Chính phủ.
 + 352,0m</t>
    </r>
    <r>
      <rPr>
        <vertAlign val="superscript"/>
        <sz val="14"/>
        <rFont val="Times New Roman"/>
        <family val="1"/>
      </rPr>
      <t>2</t>
    </r>
    <r>
      <rPr>
        <sz val="14"/>
        <rFont val="Times New Roman"/>
        <family val="1"/>
      </rPr>
      <t xml:space="preserve"> đất công do UBND xã quản lý: (HTX cho ông Tĩnh thầu từ trước năm 2004).</t>
    </r>
  </si>
  <si>
    <r>
      <rPr>
        <sz val="14"/>
        <rFont val="Times New Roman"/>
        <family val="1"/>
      </rPr>
      <t xml:space="preserve"> Đề nghị UBND Hòa Xá thu hồi GCN QSD đất số CE 603559, cấp ngày 19/12/2016 đã cấp cho hộ ông Đỗ Văn Tĩnh tại thửa đất số 358, tờ bản đồ số 2, diện tích 688,2m</t>
    </r>
    <r>
      <rPr>
        <vertAlign val="superscript"/>
        <sz val="14"/>
        <rFont val="Times New Roman"/>
        <family val="1"/>
      </rPr>
      <t>2</t>
    </r>
    <r>
      <rPr>
        <sz val="14"/>
        <rFont val="Times New Roman"/>
        <family val="1"/>
      </rPr>
      <t>, xứ đồng Gốc Đề.</t>
    </r>
    <r>
      <rPr>
        <b/>
        <sz val="14"/>
        <rFont val="Times New Roman"/>
        <family val="1"/>
      </rPr>
      <t xml:space="preserve">
</t>
    </r>
  </si>
  <si>
    <r>
      <t xml:space="preserve"> * Nguồn gốc, thời gian sử dụng đất: 
</t>
    </r>
    <r>
      <rPr>
        <sz val="14"/>
        <rFont val="Times New Roman"/>
        <family val="1"/>
      </rPr>
      <t>- Tổng diện tích đất đang sử dụng: 965,8m</t>
    </r>
    <r>
      <rPr>
        <vertAlign val="superscript"/>
        <sz val="14"/>
        <rFont val="Times New Roman"/>
        <family val="1"/>
      </rPr>
      <t>2</t>
    </r>
    <r>
      <rPr>
        <sz val="14"/>
        <rFont val="Times New Roman"/>
        <family val="1"/>
      </rPr>
      <t xml:space="preserve"> (thửa đất số 12, diện tích 400,8m</t>
    </r>
    <r>
      <rPr>
        <vertAlign val="superscript"/>
        <sz val="14"/>
        <rFont val="Times New Roman"/>
        <family val="1"/>
      </rPr>
      <t>2</t>
    </r>
    <r>
      <rPr>
        <sz val="14"/>
        <rFont val="Times New Roman"/>
        <family val="1"/>
      </rPr>
      <t>; thửa đất số 13, diện tích 565,0m</t>
    </r>
    <r>
      <rPr>
        <vertAlign val="superscript"/>
        <sz val="14"/>
        <rFont val="Times New Roman"/>
        <family val="1"/>
      </rPr>
      <t>2</t>
    </r>
    <r>
      <rPr>
        <sz val="14"/>
        <rFont val="Times New Roman"/>
        <family val="1"/>
      </rPr>
      <t>, tờ bản đồ số 3).
- Diện tích đất thu hồi thực hiện dự án: 613,0m</t>
    </r>
    <r>
      <rPr>
        <vertAlign val="superscript"/>
        <sz val="14"/>
        <rFont val="Times New Roman"/>
        <family val="1"/>
      </rPr>
      <t>2</t>
    </r>
    <r>
      <rPr>
        <sz val="14"/>
        <rFont val="Times New Roman"/>
        <family val="1"/>
      </rPr>
      <t xml:space="preserve"> (thửa đất số 12, diện tích thu hồi 48,0m2; thửa đất số 13, diện tích thu hồi 565,0m</t>
    </r>
    <r>
      <rPr>
        <vertAlign val="superscript"/>
        <sz val="14"/>
        <rFont val="Times New Roman"/>
        <family val="1"/>
      </rPr>
      <t>2</t>
    </r>
    <r>
      <rPr>
        <sz val="14"/>
        <rFont val="Times New Roman"/>
        <family val="1"/>
      </rPr>
      <t>, tờ bản đồ số 3). Gồm:
+ 602,7m</t>
    </r>
    <r>
      <rPr>
        <vertAlign val="superscript"/>
        <sz val="14"/>
        <rFont val="Times New Roman"/>
        <family val="1"/>
      </rPr>
      <t>2</t>
    </r>
    <r>
      <rPr>
        <sz val="14"/>
        <rFont val="Times New Roman"/>
        <family val="1"/>
      </rPr>
      <t xml:space="preserve"> có nguồn gốc là đất nông nghiệp được giao theo Nghị định 64/CP của Chính phủ (diện tích 138,3m</t>
    </r>
    <r>
      <rPr>
        <vertAlign val="superscript"/>
        <sz val="14"/>
        <rFont val="Times New Roman"/>
        <family val="1"/>
      </rPr>
      <t>2</t>
    </r>
    <r>
      <rPr>
        <sz val="14"/>
        <rFont val="Times New Roman"/>
        <family val="1"/>
      </rPr>
      <t xml:space="preserve"> đất nông nghiệp được giao và 464,4m</t>
    </r>
    <r>
      <rPr>
        <vertAlign val="superscript"/>
        <sz val="14"/>
        <rFont val="Times New Roman"/>
        <family val="1"/>
      </rPr>
      <t>2</t>
    </r>
    <r>
      <rPr>
        <sz val="14"/>
        <rFont val="Times New Roman"/>
        <family val="1"/>
      </rPr>
      <t xml:space="preserve"> được chuyển về sử dụng tại đồng Cửa Cầu).
+ 10,3m</t>
    </r>
    <r>
      <rPr>
        <vertAlign val="superscript"/>
        <sz val="14"/>
        <rFont val="Times New Roman"/>
        <family val="1"/>
      </rPr>
      <t>2</t>
    </r>
    <r>
      <rPr>
        <sz val="14"/>
        <rFont val="Times New Roman"/>
        <family val="1"/>
      </rPr>
      <t xml:space="preserve"> có nguồn gốc là đất công do UBND xã quản lý (HTX cho ông Dân thầu từ trước năm 2004).
- Diện tích đất còn lại: 352,8m</t>
    </r>
    <r>
      <rPr>
        <vertAlign val="superscript"/>
        <sz val="14"/>
        <rFont val="Times New Roman"/>
        <family val="1"/>
      </rPr>
      <t>2</t>
    </r>
    <r>
      <rPr>
        <sz val="14"/>
        <rFont val="Times New Roman"/>
        <family val="1"/>
      </rPr>
      <t xml:space="preserve"> (đất do UBND xã quản lý, HTX cho ông Dân thầu từ trước năm 2004).</t>
    </r>
    <r>
      <rPr>
        <b/>
        <sz val="14"/>
        <rFont val="Times New Roman"/>
        <family val="1"/>
      </rPr>
      <t xml:space="preserve">
</t>
    </r>
  </si>
  <si>
    <t>ỦY BAN NHÂN DÂN
XÃ HÒA XÁ</t>
  </si>
  <si>
    <t>ỦY BAN NHÂN DÂN</t>
  </si>
  <si>
    <t>XÃ HÒA XÁ</t>
  </si>
  <si>
    <t xml:space="preserve">              (Kèm theo Quyết định số 753/QĐ-UBND ngày 31/10/2025 của Chủ tịch UBND xã Hòa Xá)</t>
  </si>
  <si>
    <t>(Kèm theo Quyết định số 753/QĐ-UBND ngày 31/10/2025 của Chủ tịch UBND xã Hòa Xá)</t>
  </si>
  <si>
    <t>5 nhân khẩu*30kg gạo*16.000 đồng/kg gạo* 6tháng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</si>
</sst>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0.0"/>
    <numFmt numFmtId="165" formatCode="_(* #,##0.0_);_(* \(#,##0.0\);_(* &quot;-&quot;??_);_(@_)"/>
    <numFmt numFmtId="166" formatCode="_(* #,##0_);_(* \(#,##0\);_(* &quot;-&quot;??_);_(@_)"/>
    <numFmt numFmtId="167" formatCode="#,##0.0_);\(#,##0.0\)"/>
    <numFmt numFmtId="168" formatCode="#,##0.0"/>
    <numFmt numFmtId="169" formatCode="_-* #,##0.00_-;\-* #,##0.00_-;_-* &quot;-&quot;??_-;_-@_-"/>
    <numFmt numFmtId="170" formatCode="_(* #,##0.0_);_(* \(#,##0.0\);_(* &quot;-&quot;?_);_(@_)"/>
    <numFmt numFmtId="171" formatCode="_(* #,##0.0000_);_(* \(#,##0.0000\);_(* &quot;-&quot;?_);_(@_)"/>
    <numFmt numFmtId="172" formatCode="_(* #,##0_);_(* \(#,##0\);_(* &quot;-&quot;?_);_(@_)"/>
  </numFmts>
  <fonts count="4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2"/>
      <color theme="1"/>
      <name val="Times New Roman"/>
      <family val="1"/>
    </font>
    <font>
      <b/>
      <sz val="14"/>
      <color theme="1"/>
      <name val="Times New Roman"/>
      <family val="1"/>
    </font>
    <font>
      <b/>
      <sz val="14"/>
      <name val="Times New Roman"/>
      <family val="1"/>
    </font>
    <font>
      <sz val="14"/>
      <color theme="1"/>
      <name val=".VnTime"/>
      <family val="2"/>
    </font>
    <font>
      <sz val="14"/>
      <color theme="1"/>
      <name val="Times New Roman"/>
      <family val="1"/>
    </font>
    <font>
      <sz val="14"/>
      <name val=".VnTime"/>
      <family val="2"/>
    </font>
    <font>
      <sz val="10"/>
      <name val="Arial"/>
      <family val="2"/>
      <charset val="163"/>
    </font>
    <font>
      <b/>
      <sz val="12"/>
      <name val=".VnTime"/>
      <family val="2"/>
    </font>
    <font>
      <sz val="14"/>
      <color indexed="8"/>
      <name val="Times New Roman"/>
      <family val="1"/>
    </font>
    <font>
      <b/>
      <sz val="14"/>
      <color indexed="8"/>
      <name val="Times New Roman"/>
      <family val="1"/>
    </font>
    <font>
      <sz val="12"/>
      <color indexed="8"/>
      <name val="Times New Roman"/>
      <family val="1"/>
    </font>
    <font>
      <sz val="14"/>
      <name val="Times New Roman"/>
      <family val="1"/>
    </font>
    <font>
      <i/>
      <sz val="14"/>
      <color theme="1"/>
      <name val="Times New Roman"/>
      <family val="1"/>
    </font>
    <font>
      <sz val="10"/>
      <name val="Arial"/>
      <family val="2"/>
    </font>
    <font>
      <sz val="13"/>
      <name val="Times New Roman"/>
      <family val="1"/>
    </font>
    <font>
      <sz val="12"/>
      <name val="Arial"/>
      <family val="2"/>
    </font>
    <font>
      <sz val="11"/>
      <color theme="1"/>
      <name val="Times New Roman"/>
      <family val="2"/>
      <charset val="163"/>
    </font>
    <font>
      <i/>
      <sz val="14"/>
      <name val="Times New Roman"/>
      <family val="1"/>
    </font>
    <font>
      <b/>
      <sz val="14"/>
      <name val="Arial"/>
      <family val="2"/>
    </font>
    <font>
      <sz val="12"/>
      <name val="Times New Roman"/>
      <family val="1"/>
    </font>
    <font>
      <vertAlign val="superscript"/>
      <sz val="14"/>
      <name val="Times New Roman"/>
      <family val="1"/>
    </font>
    <font>
      <b/>
      <i/>
      <sz val="14"/>
      <name val="Times New Roman"/>
      <family val="1"/>
    </font>
    <font>
      <sz val="12"/>
      <name val="Times New Roman"/>
      <family val="1"/>
    </font>
    <font>
      <b/>
      <sz val="12"/>
      <color theme="1"/>
      <name val="Times New Roman"/>
      <family val="1"/>
    </font>
    <font>
      <b/>
      <sz val="12"/>
      <color indexed="8"/>
      <name val="Times New Roman"/>
      <family val="1"/>
    </font>
    <font>
      <b/>
      <sz val="12"/>
      <name val="Times New Roman"/>
      <family val="1"/>
    </font>
    <font>
      <sz val="14"/>
      <name val="Arial"/>
      <family val="2"/>
    </font>
    <font>
      <i/>
      <vertAlign val="superscript"/>
      <sz val="14"/>
      <name val="Times New Roman"/>
      <family val="1"/>
    </font>
    <font>
      <i/>
      <u/>
      <sz val="14"/>
      <name val="Times New Roman"/>
      <family val="1"/>
    </font>
    <font>
      <i/>
      <sz val="14"/>
      <name val="Arial"/>
      <family val="2"/>
    </font>
    <font>
      <b/>
      <sz val="14"/>
      <name val=".VnTime"/>
      <family val="2"/>
    </font>
    <font>
      <b/>
      <i/>
      <sz val="14"/>
      <color theme="1"/>
      <name val="Times New Roman"/>
      <family val="1"/>
    </font>
    <font>
      <b/>
      <vertAlign val="superscript"/>
      <sz val="14"/>
      <color theme="1"/>
      <name val="Times New Roman"/>
      <family val="1"/>
    </font>
    <font>
      <sz val="14"/>
      <color rgb="FF000000"/>
      <name val="Times New Roman"/>
      <family val="1"/>
    </font>
    <font>
      <b/>
      <i/>
      <u/>
      <sz val="14"/>
      <color theme="1"/>
      <name val="Times New Roman"/>
      <family val="1"/>
    </font>
    <font>
      <sz val="14"/>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bottom/>
      <diagonal/>
    </border>
  </borders>
  <cellStyleXfs count="21">
    <xf numFmtId="0" fontId="0" fillId="0" borderId="0"/>
    <xf numFmtId="43" fontId="4" fillId="0" borderId="0" applyFont="0" applyFill="0" applyBorder="0" applyAlignment="0" applyProtection="0"/>
    <xf numFmtId="0" fontId="11" fillId="0" borderId="0"/>
    <xf numFmtId="0" fontId="18" fillId="0" borderId="0"/>
    <xf numFmtId="0" fontId="20" fillId="0" borderId="0"/>
    <xf numFmtId="43" fontId="18" fillId="0" borderId="0" applyFont="0" applyFill="0" applyBorder="0" applyAlignment="0" applyProtection="0"/>
    <xf numFmtId="0" fontId="21" fillId="0" borderId="0"/>
    <xf numFmtId="0" fontId="18" fillId="0" borderId="0"/>
    <xf numFmtId="0" fontId="3" fillId="0" borderId="0"/>
    <xf numFmtId="169" fontId="18" fillId="0" borderId="0" applyFont="0" applyFill="0" applyBorder="0" applyAlignment="0" applyProtection="0"/>
    <xf numFmtId="169" fontId="18" fillId="0" borderId="0" applyFont="0" applyFill="0" applyBorder="0" applyAlignment="0" applyProtection="0"/>
    <xf numFmtId="0" fontId="18" fillId="0" borderId="0"/>
    <xf numFmtId="43" fontId="3" fillId="0" borderId="0" applyFont="0" applyFill="0" applyBorder="0" applyAlignment="0" applyProtection="0"/>
    <xf numFmtId="0" fontId="18" fillId="0" borderId="0" applyFont="0" applyFill="0" applyBorder="0" applyAlignment="0" applyProtection="0"/>
    <xf numFmtId="9" fontId="24" fillId="0" borderId="0" applyFont="0" applyFill="0" applyBorder="0" applyAlignment="0" applyProtection="0"/>
    <xf numFmtId="9" fontId="27"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463">
    <xf numFmtId="0" fontId="0" fillId="0" borderId="0" xfId="0"/>
    <xf numFmtId="0" fontId="5" fillId="0" borderId="0" xfId="0" applyFont="1"/>
    <xf numFmtId="0" fontId="6"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12" fillId="0" borderId="0" xfId="0" applyFont="1" applyAlignment="1">
      <alignment horizontal="center" vertical="center"/>
    </xf>
    <xf numFmtId="0" fontId="6" fillId="0" borderId="1" xfId="2"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9" fillId="0" borderId="1" xfId="0" applyFont="1" applyBorder="1" applyAlignment="1">
      <alignment horizontal="center" vertical="center"/>
    </xf>
    <xf numFmtId="0" fontId="13" fillId="0" borderId="1" xfId="0" applyFont="1" applyBorder="1" applyAlignment="1">
      <alignment horizontal="left" vertical="center"/>
    </xf>
    <xf numFmtId="164" fontId="9" fillId="0" borderId="1" xfId="0" applyNumberFormat="1" applyFont="1" applyBorder="1" applyAlignment="1">
      <alignment horizontal="center" vertical="center" wrapText="1"/>
    </xf>
    <xf numFmtId="0" fontId="13" fillId="0" borderId="1" xfId="0" applyFont="1" applyBorder="1" applyAlignment="1" applyProtection="1">
      <alignment horizontal="center" vertical="center"/>
      <protection locked="0"/>
    </xf>
    <xf numFmtId="165" fontId="13" fillId="0" borderId="1" xfId="1" applyNumberFormat="1" applyFont="1" applyFill="1" applyBorder="1" applyAlignment="1" applyProtection="1">
      <alignment horizontal="center" vertical="center"/>
      <protection locked="0"/>
    </xf>
    <xf numFmtId="165" fontId="14" fillId="0" borderId="1" xfId="1" applyNumberFormat="1" applyFont="1" applyFill="1" applyBorder="1" applyAlignment="1" applyProtection="1">
      <alignment horizontal="center" vertical="center"/>
      <protection locked="0"/>
    </xf>
    <xf numFmtId="165" fontId="13" fillId="0" borderId="1" xfId="1" applyNumberFormat="1"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15" fillId="0" borderId="0" xfId="0" applyFont="1" applyAlignment="1">
      <alignment vertical="center"/>
    </xf>
    <xf numFmtId="0" fontId="13" fillId="0" borderId="1" xfId="0" applyFont="1" applyBorder="1" applyAlignment="1">
      <alignment horizontal="left" vertical="center" wrapText="1"/>
    </xf>
    <xf numFmtId="2" fontId="13" fillId="0" borderId="1" xfId="1" applyNumberFormat="1" applyFont="1" applyFill="1" applyBorder="1" applyAlignment="1">
      <alignment horizontal="center" vertical="center"/>
    </xf>
    <xf numFmtId="0" fontId="6" fillId="0" borderId="1" xfId="0" applyFont="1" applyBorder="1" applyAlignment="1">
      <alignment vertical="center"/>
    </xf>
    <xf numFmtId="165" fontId="6" fillId="0" borderId="1" xfId="1" applyNumberFormat="1" applyFont="1" applyFill="1" applyBorder="1" applyAlignment="1">
      <alignment horizontal="center" vertical="center"/>
    </xf>
    <xf numFmtId="0" fontId="5" fillId="0" borderId="0" xfId="0" applyFont="1" applyAlignment="1">
      <alignment wrapText="1"/>
    </xf>
    <xf numFmtId="0" fontId="9" fillId="0" borderId="0" xfId="0" applyFont="1" applyAlignment="1">
      <alignment vertical="center" wrapText="1"/>
    </xf>
    <xf numFmtId="0" fontId="6" fillId="0" borderId="1" xfId="0" applyFont="1" applyBorder="1" applyAlignment="1">
      <alignment horizontal="center" vertical="center"/>
    </xf>
    <xf numFmtId="0" fontId="13" fillId="0" borderId="1" xfId="0" quotePrefix="1" applyFont="1" applyBorder="1" applyAlignment="1" applyProtection="1">
      <alignment horizontal="center" vertical="center"/>
      <protection locked="0"/>
    </xf>
    <xf numFmtId="0" fontId="6" fillId="0" borderId="2" xfId="0" applyFont="1" applyBorder="1" applyAlignment="1">
      <alignment vertical="center" wrapText="1"/>
    </xf>
    <xf numFmtId="49" fontId="13" fillId="0" borderId="1" xfId="0" applyNumberFormat="1" applyFont="1" applyBorder="1" applyAlignment="1" applyProtection="1">
      <alignment horizontal="center" vertical="center"/>
      <protection locked="0"/>
    </xf>
    <xf numFmtId="49" fontId="6" fillId="0" borderId="0" xfId="0" applyNumberFormat="1" applyFont="1" applyAlignment="1">
      <alignment vertical="center"/>
    </xf>
    <xf numFmtId="49" fontId="13" fillId="0" borderId="1" xfId="0" quotePrefix="1" applyNumberFormat="1" applyFont="1" applyBorder="1" applyAlignment="1" applyProtection="1">
      <alignment horizontal="center" vertical="center"/>
      <protection locked="0"/>
    </xf>
    <xf numFmtId="49" fontId="6" fillId="0" borderId="1" xfId="0" applyNumberFormat="1" applyFont="1" applyBorder="1" applyAlignment="1">
      <alignment vertical="center"/>
    </xf>
    <xf numFmtId="49" fontId="5" fillId="0" borderId="0" xfId="0" applyNumberFormat="1" applyFont="1"/>
    <xf numFmtId="0" fontId="9" fillId="2" borderId="1" xfId="0" applyFont="1" applyFill="1" applyBorder="1" applyAlignment="1">
      <alignment horizontal="center" vertical="center"/>
    </xf>
    <xf numFmtId="0" fontId="13" fillId="2" borderId="1" xfId="0" applyFont="1" applyFill="1" applyBorder="1" applyAlignment="1">
      <alignment horizontal="left" vertical="center"/>
    </xf>
    <xf numFmtId="164" fontId="9" fillId="2" borderId="1" xfId="0" applyNumberFormat="1" applyFont="1" applyFill="1" applyBorder="1" applyAlignment="1">
      <alignment horizontal="center" vertical="center" wrapText="1"/>
    </xf>
    <xf numFmtId="0" fontId="13" fillId="2" borderId="1" xfId="0" applyFont="1" applyFill="1" applyBorder="1" applyAlignment="1" applyProtection="1">
      <alignment horizontal="center" vertical="center"/>
      <protection locked="0"/>
    </xf>
    <xf numFmtId="0" fontId="13" fillId="2" borderId="1" xfId="0" quotePrefix="1" applyFont="1" applyFill="1" applyBorder="1" applyAlignment="1" applyProtection="1">
      <alignment horizontal="center" vertical="center"/>
      <protection locked="0"/>
    </xf>
    <xf numFmtId="49" fontId="13" fillId="2" borderId="1" xfId="0" applyNumberFormat="1" applyFont="1" applyFill="1" applyBorder="1" applyAlignment="1" applyProtection="1">
      <alignment horizontal="center" vertical="center"/>
      <protection locked="0"/>
    </xf>
    <xf numFmtId="165" fontId="13" fillId="2" borderId="1" xfId="1" applyNumberFormat="1" applyFont="1" applyFill="1" applyBorder="1" applyAlignment="1" applyProtection="1">
      <alignment horizontal="center" vertical="center"/>
      <protection locked="0"/>
    </xf>
    <xf numFmtId="165" fontId="14" fillId="2" borderId="1" xfId="1" applyNumberFormat="1" applyFont="1" applyFill="1" applyBorder="1" applyAlignment="1" applyProtection="1">
      <alignment horizontal="center" vertical="center"/>
      <protection locked="0"/>
    </xf>
    <xf numFmtId="165" fontId="13" fillId="2" borderId="1" xfId="1" applyNumberFormat="1"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15" fillId="2" borderId="0" xfId="0" applyFont="1" applyFill="1" applyAlignment="1">
      <alignment vertical="center"/>
    </xf>
    <xf numFmtId="0" fontId="9" fillId="2" borderId="1" xfId="0" applyFont="1" applyFill="1" applyBorder="1" applyAlignment="1">
      <alignment horizontal="left" vertical="center" wrapText="1"/>
    </xf>
    <xf numFmtId="0" fontId="7" fillId="0" borderId="0" xfId="3" applyFont="1" applyAlignment="1">
      <alignment horizontal="center" vertical="center" wrapText="1"/>
    </xf>
    <xf numFmtId="0" fontId="16" fillId="0" borderId="0" xfId="3" applyFont="1" applyAlignment="1">
      <alignment horizontal="center" vertical="center" wrapText="1"/>
    </xf>
    <xf numFmtId="0" fontId="7" fillId="0" borderId="0" xfId="3" applyFont="1" applyAlignment="1">
      <alignment vertical="center" wrapText="1"/>
    </xf>
    <xf numFmtId="0" fontId="16" fillId="0" borderId="0" xfId="3" applyFont="1" applyAlignment="1">
      <alignment vertical="center" wrapText="1"/>
    </xf>
    <xf numFmtId="0" fontId="16" fillId="0" borderId="0" xfId="3" quotePrefix="1" applyFont="1" applyAlignment="1">
      <alignment vertical="center" wrapText="1"/>
    </xf>
    <xf numFmtId="0" fontId="7" fillId="0" borderId="0" xfId="3" quotePrefix="1" applyFont="1" applyAlignment="1">
      <alignment vertical="center" wrapText="1"/>
    </xf>
    <xf numFmtId="0" fontId="7" fillId="0" borderId="0" xfId="3" applyFont="1" applyAlignment="1">
      <alignment horizontal="left" vertical="center" wrapText="1"/>
    </xf>
    <xf numFmtId="166" fontId="7" fillId="0" borderId="0" xfId="5" applyNumberFormat="1" applyFont="1" applyFill="1" applyAlignment="1">
      <alignment horizontal="left" vertical="center" wrapText="1"/>
    </xf>
    <xf numFmtId="0" fontId="7" fillId="0" borderId="1" xfId="6" applyFont="1" applyBorder="1" applyAlignment="1">
      <alignment horizontal="center" vertical="center" wrapText="1"/>
    </xf>
    <xf numFmtId="166" fontId="7" fillId="0" borderId="1" xfId="10" applyNumberFormat="1" applyFont="1" applyFill="1" applyBorder="1" applyAlignment="1">
      <alignment horizontal="center" vertical="center" wrapText="1"/>
    </xf>
    <xf numFmtId="0" fontId="7" fillId="0" borderId="8" xfId="3" applyFont="1" applyBorder="1" applyAlignment="1">
      <alignment horizontal="center" vertical="center" wrapText="1"/>
    </xf>
    <xf numFmtId="166" fontId="7" fillId="0" borderId="8" xfId="5" applyNumberFormat="1" applyFont="1" applyFill="1" applyBorder="1" applyAlignment="1">
      <alignment horizontal="center" vertical="center" wrapText="1"/>
    </xf>
    <xf numFmtId="9" fontId="7" fillId="0" borderId="1" xfId="7" applyNumberFormat="1" applyFont="1" applyBorder="1" applyAlignment="1">
      <alignment horizontal="center" vertical="center" wrapText="1"/>
    </xf>
    <xf numFmtId="37" fontId="7" fillId="0" borderId="8" xfId="5" applyNumberFormat="1" applyFont="1" applyFill="1" applyBorder="1" applyAlignment="1">
      <alignment horizontal="center" vertical="center" wrapText="1"/>
    </xf>
    <xf numFmtId="166" fontId="16" fillId="0" borderId="0" xfId="5" applyNumberFormat="1" applyFont="1" applyFill="1" applyAlignment="1">
      <alignment vertical="center" wrapText="1"/>
    </xf>
    <xf numFmtId="0" fontId="7" fillId="0" borderId="2" xfId="3" applyFont="1" applyBorder="1" applyAlignment="1">
      <alignment horizontal="center" vertical="center" wrapText="1"/>
    </xf>
    <xf numFmtId="2" fontId="16" fillId="0" borderId="1" xfId="7" applyNumberFormat="1" applyFont="1" applyBorder="1" applyAlignment="1">
      <alignment horizontal="center" vertical="center" wrapText="1"/>
    </xf>
    <xf numFmtId="3" fontId="16" fillId="0" borderId="2" xfId="12" applyNumberFormat="1" applyFont="1" applyFill="1" applyBorder="1" applyAlignment="1">
      <alignment horizontal="center" vertical="center" wrapText="1"/>
    </xf>
    <xf numFmtId="0" fontId="22" fillId="0" borderId="0" xfId="3" applyFont="1" applyAlignment="1">
      <alignment horizontal="right" vertical="center" wrapText="1"/>
    </xf>
    <xf numFmtId="0" fontId="16" fillId="0" borderId="1" xfId="7" applyFont="1" applyBorder="1" applyAlignment="1">
      <alignment horizontal="center" vertical="center" wrapText="1"/>
    </xf>
    <xf numFmtId="0" fontId="16" fillId="0" borderId="1" xfId="3" applyFont="1" applyBorder="1" applyAlignment="1">
      <alignment vertical="center" wrapText="1"/>
    </xf>
    <xf numFmtId="9" fontId="16" fillId="0" borderId="1" xfId="7" applyNumberFormat="1" applyFont="1" applyBorder="1" applyAlignment="1">
      <alignment horizontal="center" vertical="center" wrapText="1"/>
    </xf>
    <xf numFmtId="0" fontId="16" fillId="0" borderId="1" xfId="6" applyFont="1" applyBorder="1" applyAlignment="1">
      <alignment horizontal="center" vertical="center" wrapText="1"/>
    </xf>
    <xf numFmtId="0" fontId="7" fillId="0" borderId="0" xfId="7" applyFont="1" applyAlignment="1">
      <alignment wrapText="1"/>
    </xf>
    <xf numFmtId="0" fontId="16" fillId="0" borderId="1" xfId="3" applyFont="1" applyBorder="1" applyAlignment="1">
      <alignment horizontal="center" vertical="center" wrapText="1"/>
    </xf>
    <xf numFmtId="37" fontId="16" fillId="0" borderId="1" xfId="5" applyNumberFormat="1" applyFont="1" applyFill="1" applyBorder="1" applyAlignment="1">
      <alignment horizontal="right" vertical="center" wrapText="1"/>
    </xf>
    <xf numFmtId="0" fontId="9" fillId="0" borderId="0" xfId="0" applyFont="1" applyAlignment="1">
      <alignment vertical="center"/>
    </xf>
    <xf numFmtId="0" fontId="9" fillId="3" borderId="1" xfId="0" applyFont="1" applyFill="1" applyBorder="1" applyAlignment="1">
      <alignment horizontal="center" vertical="center"/>
    </xf>
    <xf numFmtId="0" fontId="13" fillId="3" borderId="1" xfId="0" applyFont="1" applyFill="1" applyBorder="1" applyAlignment="1">
      <alignment horizontal="left" vertical="center"/>
    </xf>
    <xf numFmtId="164" fontId="9" fillId="3" borderId="1" xfId="0" applyNumberFormat="1" applyFont="1" applyFill="1" applyBorder="1" applyAlignment="1">
      <alignment horizontal="center" vertical="center" wrapText="1"/>
    </xf>
    <xf numFmtId="0" fontId="13" fillId="3" borderId="1" xfId="0" applyFont="1" applyFill="1" applyBorder="1" applyAlignment="1" applyProtection="1">
      <alignment horizontal="center" vertical="center"/>
      <protection locked="0"/>
    </xf>
    <xf numFmtId="0" fontId="13" fillId="3" borderId="1" xfId="0" quotePrefix="1" applyFont="1" applyFill="1" applyBorder="1" applyAlignment="1" applyProtection="1">
      <alignment horizontal="center" vertical="center"/>
      <protection locked="0"/>
    </xf>
    <xf numFmtId="49" fontId="13" fillId="3" borderId="1" xfId="0" applyNumberFormat="1" applyFont="1" applyFill="1" applyBorder="1" applyAlignment="1" applyProtection="1">
      <alignment horizontal="center" vertical="center"/>
      <protection locked="0"/>
    </xf>
    <xf numFmtId="165" fontId="13" fillId="3" borderId="1" xfId="1" applyNumberFormat="1" applyFont="1" applyFill="1" applyBorder="1" applyAlignment="1" applyProtection="1">
      <alignment horizontal="center" vertical="center"/>
      <protection locked="0"/>
    </xf>
    <xf numFmtId="165" fontId="14" fillId="3" borderId="1" xfId="1" applyNumberFormat="1" applyFont="1" applyFill="1" applyBorder="1" applyAlignment="1" applyProtection="1">
      <alignment horizontal="center" vertical="center"/>
      <protection locked="0"/>
    </xf>
    <xf numFmtId="165" fontId="13" fillId="3" borderId="1" xfId="1" applyNumberFormat="1"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15" fillId="3" borderId="0" xfId="0" applyFont="1" applyFill="1" applyAlignment="1">
      <alignment vertical="center"/>
    </xf>
    <xf numFmtId="2" fontId="13" fillId="3" borderId="1" xfId="1" applyNumberFormat="1" applyFont="1" applyFill="1" applyBorder="1" applyAlignment="1">
      <alignment horizontal="center" vertical="center"/>
    </xf>
    <xf numFmtId="0" fontId="13" fillId="3" borderId="1" xfId="0" applyFont="1" applyFill="1" applyBorder="1" applyAlignment="1">
      <alignment horizontal="left" vertical="center" wrapText="1"/>
    </xf>
    <xf numFmtId="165" fontId="9" fillId="0" borderId="1" xfId="1" applyNumberFormat="1" applyFont="1" applyFill="1" applyBorder="1" applyAlignment="1" applyProtection="1">
      <alignment horizontal="center" vertical="center"/>
      <protection locked="0"/>
    </xf>
    <xf numFmtId="165" fontId="9" fillId="0" borderId="0" xfId="1" applyNumberFormat="1" applyFont="1" applyFill="1" applyAlignment="1">
      <alignment vertical="center"/>
    </xf>
    <xf numFmtId="165" fontId="9" fillId="3" borderId="1" xfId="1" applyNumberFormat="1" applyFont="1" applyFill="1" applyBorder="1" applyAlignment="1" applyProtection="1">
      <alignment horizontal="center" vertical="center"/>
      <protection locked="0"/>
    </xf>
    <xf numFmtId="165" fontId="6" fillId="0" borderId="1" xfId="1" applyNumberFormat="1" applyFont="1" applyFill="1" applyBorder="1" applyAlignment="1">
      <alignment vertical="center"/>
    </xf>
    <xf numFmtId="165" fontId="5" fillId="0" borderId="0" xfId="1" applyNumberFormat="1" applyFont="1" applyFill="1"/>
    <xf numFmtId="49" fontId="13" fillId="2" borderId="1" xfId="0" quotePrefix="1" applyNumberFormat="1" applyFont="1" applyFill="1" applyBorder="1" applyAlignment="1" applyProtection="1">
      <alignment horizontal="center" vertical="center"/>
      <protection locked="0"/>
    </xf>
    <xf numFmtId="165" fontId="9" fillId="2" borderId="1" xfId="1" applyNumberFormat="1" applyFont="1" applyFill="1" applyBorder="1" applyAlignment="1" applyProtection="1">
      <alignment horizontal="center" vertical="center"/>
      <protection locked="0"/>
    </xf>
    <xf numFmtId="0" fontId="22" fillId="0" borderId="0" xfId="6" applyFont="1" applyAlignment="1">
      <alignment horizontal="center" vertical="center" wrapText="1"/>
    </xf>
    <xf numFmtId="0" fontId="7" fillId="0" borderId="1" xfId="3" applyFont="1" applyBorder="1" applyAlignment="1">
      <alignment horizontal="center" vertical="center" wrapText="1"/>
    </xf>
    <xf numFmtId="166" fontId="7" fillId="0" borderId="1" xfId="5" applyNumberFormat="1" applyFont="1" applyFill="1" applyBorder="1" applyAlignment="1">
      <alignment horizontal="center" vertical="center" wrapText="1"/>
    </xf>
    <xf numFmtId="3" fontId="16" fillId="0" borderId="1" xfId="1" applyNumberFormat="1" applyFont="1" applyFill="1" applyBorder="1" applyAlignment="1">
      <alignment horizontal="right" vertical="center" wrapText="1"/>
    </xf>
    <xf numFmtId="3" fontId="16" fillId="0" borderId="2" xfId="1" applyNumberFormat="1" applyFont="1" applyFill="1" applyBorder="1" applyAlignment="1">
      <alignment horizontal="right" vertical="center" wrapText="1"/>
    </xf>
    <xf numFmtId="10" fontId="9" fillId="0" borderId="1" xfId="15" applyNumberFormat="1" applyFont="1" applyFill="1" applyBorder="1" applyAlignment="1" applyProtection="1">
      <alignment horizontal="center" vertical="center"/>
      <protection locked="0"/>
    </xf>
    <xf numFmtId="166" fontId="9" fillId="0" borderId="1" xfId="1" applyNumberFormat="1" applyFont="1" applyFill="1" applyBorder="1" applyAlignment="1" applyProtection="1">
      <alignment horizontal="center" vertical="center" wrapText="1"/>
      <protection locked="0"/>
    </xf>
    <xf numFmtId="166" fontId="9" fillId="0" borderId="1" xfId="0" applyNumberFormat="1" applyFont="1" applyBorder="1" applyAlignment="1" applyProtection="1">
      <alignment horizontal="center" vertical="center" wrapText="1"/>
      <protection locked="0"/>
    </xf>
    <xf numFmtId="3" fontId="9" fillId="0" borderId="1" xfId="0" applyNumberFormat="1" applyFont="1" applyBorder="1" applyAlignment="1" applyProtection="1">
      <alignment horizontal="center" vertical="center" wrapText="1"/>
      <protection locked="0"/>
    </xf>
    <xf numFmtId="37" fontId="9" fillId="0" borderId="1" xfId="0" applyNumberFormat="1" applyFont="1" applyBorder="1" applyAlignment="1" applyProtection="1">
      <alignment horizontal="center" vertical="center" wrapText="1"/>
      <protection locked="0"/>
    </xf>
    <xf numFmtId="3" fontId="6" fillId="0" borderId="1" xfId="0" applyNumberFormat="1" applyFont="1" applyBorder="1" applyAlignment="1">
      <alignment vertical="center" wrapText="1"/>
    </xf>
    <xf numFmtId="0" fontId="26" fillId="0" borderId="0" xfId="3" applyFont="1" applyAlignment="1">
      <alignment horizontal="right" vertical="center" wrapText="1"/>
    </xf>
    <xf numFmtId="0" fontId="16" fillId="0" borderId="0" xfId="0" applyFont="1" applyAlignment="1">
      <alignment vertical="center" wrapText="1"/>
    </xf>
    <xf numFmtId="0" fontId="16" fillId="0" borderId="0" xfId="4" applyFont="1" applyAlignment="1">
      <alignment vertical="center" wrapText="1"/>
    </xf>
    <xf numFmtId="166" fontId="16" fillId="0" borderId="0" xfId="5" applyNumberFormat="1" applyFont="1" applyFill="1" applyBorder="1" applyAlignment="1">
      <alignment vertical="center" wrapText="1"/>
    </xf>
    <xf numFmtId="0" fontId="22" fillId="0" borderId="0" xfId="4" applyFont="1" applyAlignment="1">
      <alignment vertical="center" wrapText="1"/>
    </xf>
    <xf numFmtId="0" fontId="16" fillId="0" borderId="0" xfId="4" applyFont="1" applyAlignment="1">
      <alignment horizontal="left" vertical="center" wrapText="1"/>
    </xf>
    <xf numFmtId="0" fontId="22" fillId="0" borderId="0" xfId="4" applyFont="1" applyAlignment="1">
      <alignment horizontal="center" vertical="center" wrapText="1"/>
    </xf>
    <xf numFmtId="49" fontId="16" fillId="0" borderId="0" xfId="8" quotePrefix="1" applyNumberFormat="1" applyFont="1" applyAlignment="1">
      <alignment horizontal="center" vertical="center"/>
    </xf>
    <xf numFmtId="167" fontId="16" fillId="0" borderId="0" xfId="5" applyNumberFormat="1" applyFont="1" applyFill="1" applyBorder="1" applyAlignment="1">
      <alignment horizontal="right" vertical="center" wrapText="1"/>
    </xf>
    <xf numFmtId="0" fontId="16" fillId="0" borderId="0" xfId="3" applyFont="1" applyAlignment="1">
      <alignment horizontal="left" wrapText="1"/>
    </xf>
    <xf numFmtId="0" fontId="31" fillId="0" borderId="0" xfId="3" applyFont="1" applyAlignment="1">
      <alignment wrapText="1"/>
    </xf>
    <xf numFmtId="167" fontId="16" fillId="0" borderId="0" xfId="5" applyNumberFormat="1" applyFont="1" applyFill="1" applyBorder="1" applyAlignment="1">
      <alignment vertical="center" wrapText="1"/>
    </xf>
    <xf numFmtId="0" fontId="22" fillId="0" borderId="0" xfId="3" quotePrefix="1" applyFont="1" applyAlignment="1">
      <alignment horizontal="left" vertical="center" wrapText="1"/>
    </xf>
    <xf numFmtId="164" fontId="22" fillId="0" borderId="0" xfId="3" applyNumberFormat="1" applyFont="1" applyAlignment="1">
      <alignment horizontal="right" wrapText="1"/>
    </xf>
    <xf numFmtId="167" fontId="22" fillId="0" borderId="0" xfId="5" applyNumberFormat="1" applyFont="1" applyFill="1" applyBorder="1" applyAlignment="1">
      <alignment horizontal="right" vertical="center" wrapText="1"/>
    </xf>
    <xf numFmtId="0" fontId="34" fillId="0" borderId="0" xfId="3" applyFont="1" applyAlignment="1">
      <alignment wrapText="1"/>
    </xf>
    <xf numFmtId="164" fontId="22" fillId="0" borderId="0" xfId="3" applyNumberFormat="1" applyFont="1" applyAlignment="1">
      <alignment vertical="center" wrapText="1"/>
    </xf>
    <xf numFmtId="0" fontId="22" fillId="0" borderId="0" xfId="3" applyFont="1" applyAlignment="1">
      <alignment wrapText="1"/>
    </xf>
    <xf numFmtId="168" fontId="16" fillId="0" borderId="1" xfId="5" applyNumberFormat="1" applyFont="1" applyFill="1" applyBorder="1" applyAlignment="1">
      <alignment horizontal="right" vertical="center" wrapText="1"/>
    </xf>
    <xf numFmtId="168" fontId="7" fillId="0" borderId="1" xfId="7" applyNumberFormat="1" applyFont="1" applyBorder="1" applyAlignment="1">
      <alignment horizontal="right" vertical="center" wrapText="1"/>
    </xf>
    <xf numFmtId="0" fontId="7" fillId="0" borderId="1" xfId="7" applyFont="1" applyBorder="1" applyAlignment="1">
      <alignment vertical="center" wrapText="1"/>
    </xf>
    <xf numFmtId="37" fontId="7" fillId="0" borderId="1" xfId="9" applyNumberFormat="1" applyFont="1" applyFill="1" applyBorder="1" applyAlignment="1">
      <alignment horizontal="right" vertical="center" wrapText="1"/>
    </xf>
    <xf numFmtId="0" fontId="16" fillId="0" borderId="1" xfId="7" applyFont="1" applyBorder="1" applyAlignment="1">
      <alignment vertical="center" wrapText="1"/>
    </xf>
    <xf numFmtId="0" fontId="16" fillId="0" borderId="0" xfId="7" applyFont="1" applyAlignment="1">
      <alignment vertical="center" wrapText="1"/>
    </xf>
    <xf numFmtId="0" fontId="16" fillId="0" borderId="0" xfId="6" applyFont="1"/>
    <xf numFmtId="0" fontId="7" fillId="0" borderId="0" xfId="3" applyFont="1" applyAlignment="1">
      <alignment wrapText="1"/>
    </xf>
    <xf numFmtId="4" fontId="7" fillId="0" borderId="1" xfId="11" applyNumberFormat="1" applyFont="1" applyBorder="1" applyAlignment="1">
      <alignment horizontal="center" vertical="center" wrapText="1"/>
    </xf>
    <xf numFmtId="4" fontId="7" fillId="0" borderId="1" xfId="11" applyNumberFormat="1" applyFont="1" applyBorder="1" applyAlignment="1">
      <alignment horizontal="right" vertical="center" wrapText="1"/>
    </xf>
    <xf numFmtId="3" fontId="7" fillId="0" borderId="1" xfId="11" applyNumberFormat="1" applyFont="1" applyBorder="1" applyAlignment="1">
      <alignment horizontal="right" vertical="center" wrapText="1"/>
    </xf>
    <xf numFmtId="3" fontId="7" fillId="0" borderId="1" xfId="7" applyNumberFormat="1" applyFont="1" applyBorder="1" applyAlignment="1">
      <alignment horizontal="right" vertical="center" wrapText="1"/>
    </xf>
    <xf numFmtId="0" fontId="26" fillId="0" borderId="1" xfId="7" applyFont="1" applyBorder="1" applyAlignment="1">
      <alignment horizontal="center" vertical="center" wrapText="1"/>
    </xf>
    <xf numFmtId="37" fontId="16" fillId="0" borderId="8" xfId="5" applyNumberFormat="1" applyFont="1" applyFill="1" applyBorder="1" applyAlignment="1">
      <alignment horizontal="right" vertical="center" wrapText="1"/>
    </xf>
    <xf numFmtId="0" fontId="7" fillId="0" borderId="1" xfId="3" applyFont="1" applyBorder="1" applyAlignment="1">
      <alignment vertical="center" wrapText="1"/>
    </xf>
    <xf numFmtId="37" fontId="7" fillId="0" borderId="1" xfId="5" applyNumberFormat="1" applyFont="1" applyFill="1" applyBorder="1" applyAlignment="1">
      <alignment horizontal="right" vertical="center" wrapText="1"/>
    </xf>
    <xf numFmtId="167" fontId="16" fillId="0" borderId="1" xfId="13" applyNumberFormat="1" applyFont="1" applyFill="1" applyBorder="1" applyAlignment="1">
      <alignment horizontal="center" vertical="center" wrapText="1"/>
    </xf>
    <xf numFmtId="37" fontId="16" fillId="0" borderId="1" xfId="13" applyNumberFormat="1" applyFont="1" applyFill="1" applyBorder="1" applyAlignment="1">
      <alignment horizontal="right" vertical="center" wrapText="1"/>
    </xf>
    <xf numFmtId="167" fontId="16" fillId="0" borderId="1" xfId="5" applyNumberFormat="1" applyFont="1" applyFill="1" applyBorder="1" applyAlignment="1">
      <alignment horizontal="center" vertical="center" wrapText="1"/>
    </xf>
    <xf numFmtId="166" fontId="7" fillId="0" borderId="0" xfId="5" applyNumberFormat="1" applyFont="1" applyFill="1" applyAlignment="1">
      <alignment vertical="center" wrapText="1"/>
    </xf>
    <xf numFmtId="49" fontId="16" fillId="0" borderId="0" xfId="3" applyNumberFormat="1" applyFont="1" applyAlignment="1">
      <alignment vertical="center" wrapText="1"/>
    </xf>
    <xf numFmtId="0" fontId="6" fillId="0" borderId="7" xfId="0" applyFont="1" applyBorder="1" applyAlignment="1">
      <alignment horizontal="left" vertical="center" wrapText="1"/>
    </xf>
    <xf numFmtId="0" fontId="14" fillId="0" borderId="1" xfId="0" applyFont="1" applyBorder="1" applyAlignment="1">
      <alignment horizontal="left" vertical="center"/>
    </xf>
    <xf numFmtId="164" fontId="6" fillId="0" borderId="1" xfId="0" applyNumberFormat="1"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 xfId="0" quotePrefix="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65" fontId="6" fillId="0" borderId="1" xfId="1" applyNumberFormat="1" applyFont="1" applyFill="1" applyBorder="1" applyAlignment="1" applyProtection="1">
      <alignment horizontal="center" vertical="center"/>
      <protection locked="0"/>
    </xf>
    <xf numFmtId="10" fontId="6" fillId="0" borderId="1" xfId="15" applyNumberFormat="1"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64" fontId="13" fillId="0" borderId="1" xfId="1" applyNumberFormat="1" applyFont="1" applyFill="1" applyBorder="1" applyAlignment="1">
      <alignment horizontal="right" vertical="center"/>
    </xf>
    <xf numFmtId="1" fontId="6" fillId="0" borderId="1" xfId="0" applyNumberFormat="1" applyFont="1" applyBorder="1" applyAlignment="1" applyProtection="1">
      <alignment horizontal="right" vertical="center" wrapText="1"/>
      <protection locked="0"/>
    </xf>
    <xf numFmtId="165" fontId="6" fillId="0" borderId="1" xfId="0" applyNumberFormat="1" applyFont="1" applyBorder="1" applyAlignment="1">
      <alignment horizontal="center" vertical="center" wrapText="1"/>
    </xf>
    <xf numFmtId="3" fontId="6" fillId="0" borderId="1" xfId="16" applyNumberFormat="1" applyFont="1" applyBorder="1" applyAlignment="1">
      <alignment horizontal="center" vertical="center" wrapText="1"/>
    </xf>
    <xf numFmtId="0" fontId="16" fillId="0" borderId="1"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wrapText="1"/>
    </xf>
    <xf numFmtId="165" fontId="6" fillId="0" borderId="0" xfId="1" applyNumberFormat="1" applyFont="1" applyFill="1" applyBorder="1" applyAlignment="1">
      <alignment horizontal="center" vertical="center"/>
    </xf>
    <xf numFmtId="165" fontId="6" fillId="0" borderId="0" xfId="1" applyNumberFormat="1" applyFont="1" applyFill="1" applyBorder="1" applyAlignment="1">
      <alignment vertical="center"/>
    </xf>
    <xf numFmtId="3" fontId="6" fillId="0" borderId="0" xfId="0" applyNumberFormat="1" applyFont="1" applyAlignment="1">
      <alignment vertical="center" wrapText="1"/>
    </xf>
    <xf numFmtId="0" fontId="9" fillId="0" borderId="0" xfId="0" applyFont="1"/>
    <xf numFmtId="0" fontId="16" fillId="0" borderId="0" xfId="0" applyFont="1"/>
    <xf numFmtId="0" fontId="35" fillId="0" borderId="0" xfId="0" applyFont="1" applyAlignment="1">
      <alignment horizontal="center" vertical="center"/>
    </xf>
    <xf numFmtId="0" fontId="13" fillId="0" borderId="0" xfId="0" applyFont="1" applyAlignment="1">
      <alignment vertical="center"/>
    </xf>
    <xf numFmtId="0" fontId="13" fillId="3" borderId="0" xfId="0" applyFont="1" applyFill="1" applyAlignment="1">
      <alignment vertical="center"/>
    </xf>
    <xf numFmtId="0" fontId="14" fillId="0" borderId="0" xfId="0" applyFont="1" applyAlignment="1">
      <alignment vertical="center"/>
    </xf>
    <xf numFmtId="37" fontId="16" fillId="0" borderId="0" xfId="0" applyNumberFormat="1" applyFont="1"/>
    <xf numFmtId="3" fontId="16" fillId="0" borderId="0" xfId="0" applyNumberFormat="1" applyFont="1"/>
    <xf numFmtId="0" fontId="9" fillId="0" borderId="0" xfId="16" applyFont="1" applyAlignment="1">
      <alignment vertical="center" wrapText="1"/>
    </xf>
    <xf numFmtId="0" fontId="6" fillId="0" borderId="0" xfId="16" applyFont="1" applyAlignment="1">
      <alignment vertical="center" wrapText="1"/>
    </xf>
    <xf numFmtId="3" fontId="9" fillId="0" borderId="0" xfId="16" applyNumberFormat="1" applyFont="1" applyAlignment="1">
      <alignment vertical="center" wrapText="1"/>
    </xf>
    <xf numFmtId="43" fontId="9" fillId="0" borderId="0" xfId="18" applyFont="1" applyFill="1" applyAlignment="1">
      <alignment vertical="center" wrapText="1"/>
    </xf>
    <xf numFmtId="0" fontId="9" fillId="0" borderId="0" xfId="16" applyFont="1" applyAlignment="1">
      <alignment horizontal="center" vertical="center" wrapText="1"/>
    </xf>
    <xf numFmtId="43" fontId="9" fillId="0" borderId="0" xfId="16" applyNumberFormat="1" applyFont="1" applyAlignment="1">
      <alignment vertical="center" wrapText="1"/>
    </xf>
    <xf numFmtId="165" fontId="9" fillId="0" borderId="0" xfId="18" applyNumberFormat="1" applyFont="1" applyFill="1" applyAlignment="1">
      <alignment vertical="center" wrapText="1"/>
    </xf>
    <xf numFmtId="0" fontId="9" fillId="0" borderId="0" xfId="0" applyFont="1" applyAlignment="1">
      <alignment wrapText="1"/>
    </xf>
    <xf numFmtId="49" fontId="9" fillId="0" borderId="0" xfId="0" applyNumberFormat="1" applyFont="1"/>
    <xf numFmtId="165" fontId="9" fillId="0" borderId="0" xfId="1" applyNumberFormat="1" applyFont="1" applyFill="1"/>
    <xf numFmtId="0" fontId="16" fillId="0" borderId="0" xfId="0" applyFont="1" applyAlignment="1">
      <alignment wrapText="1"/>
    </xf>
    <xf numFmtId="49" fontId="7" fillId="0" borderId="7" xfId="12" applyNumberFormat="1" applyFont="1" applyFill="1" applyBorder="1" applyAlignment="1">
      <alignment horizontal="center" vertical="center" wrapText="1"/>
    </xf>
    <xf numFmtId="0" fontId="6" fillId="0" borderId="7" xfId="16" applyFont="1" applyBorder="1" applyAlignment="1">
      <alignment horizontal="center" vertical="center" wrapText="1"/>
    </xf>
    <xf numFmtId="0" fontId="6" fillId="0" borderId="7" xfId="0" applyFont="1" applyBorder="1" applyAlignment="1">
      <alignment horizontal="center" vertical="center" wrapText="1"/>
    </xf>
    <xf numFmtId="49" fontId="6" fillId="0" borderId="7" xfId="0" applyNumberFormat="1" applyFont="1" applyBorder="1" applyAlignment="1">
      <alignment horizontal="center" vertical="center" wrapText="1"/>
    </xf>
    <xf numFmtId="165" fontId="6" fillId="0" borderId="7" xfId="1" applyNumberFormat="1" applyFont="1" applyFill="1" applyBorder="1" applyAlignment="1">
      <alignment horizontal="center" vertical="center" wrapText="1"/>
    </xf>
    <xf numFmtId="0" fontId="6" fillId="0" borderId="7" xfId="2" applyFont="1" applyBorder="1" applyAlignment="1">
      <alignment horizontal="center" vertical="center" wrapText="1"/>
    </xf>
    <xf numFmtId="0" fontId="22" fillId="0" borderId="0" xfId="3" applyFont="1" applyAlignment="1">
      <alignment horizontal="center" vertical="center" wrapText="1"/>
    </xf>
    <xf numFmtId="164" fontId="6" fillId="0" borderId="0" xfId="1" applyNumberFormat="1" applyFont="1" applyFill="1" applyBorder="1" applyAlignment="1">
      <alignment horizontal="center" vertical="center"/>
    </xf>
    <xf numFmtId="164" fontId="6" fillId="0" borderId="0" xfId="16" applyNumberFormat="1" applyFont="1" applyAlignment="1">
      <alignment vertical="center" wrapText="1"/>
    </xf>
    <xf numFmtId="164" fontId="9" fillId="0" borderId="0" xfId="0" applyNumberFormat="1" applyFont="1"/>
    <xf numFmtId="0" fontId="16" fillId="0" borderId="2" xfId="3" applyFont="1" applyBorder="1" applyAlignment="1">
      <alignment horizontal="center" vertical="center" wrapText="1"/>
    </xf>
    <xf numFmtId="0" fontId="16" fillId="0" borderId="0" xfId="7" applyFont="1" applyAlignment="1">
      <alignment wrapText="1"/>
    </xf>
    <xf numFmtId="0" fontId="22" fillId="0" borderId="0" xfId="7" applyFont="1" applyAlignment="1">
      <alignment wrapText="1"/>
    </xf>
    <xf numFmtId="0" fontId="16" fillId="0" borderId="8" xfId="3" applyFont="1" applyBorder="1" applyAlignment="1">
      <alignment horizontal="left" vertical="center" wrapText="1"/>
    </xf>
    <xf numFmtId="166" fontId="16" fillId="0" borderId="0" xfId="5" applyNumberFormat="1" applyFont="1" applyFill="1" applyBorder="1" applyAlignment="1">
      <alignment horizontal="center" vertical="center" wrapText="1"/>
    </xf>
    <xf numFmtId="0" fontId="7" fillId="0" borderId="0" xfId="3" quotePrefix="1" applyFont="1" applyAlignment="1">
      <alignment horizontal="center" vertical="center" wrapText="1"/>
    </xf>
    <xf numFmtId="0" fontId="16" fillId="0" borderId="0" xfId="3" applyFont="1" applyAlignment="1">
      <alignment horizontal="center" vertical="center"/>
    </xf>
    <xf numFmtId="166" fontId="7" fillId="0" borderId="0" xfId="5" applyNumberFormat="1" applyFont="1" applyFill="1" applyAlignment="1">
      <alignment horizontal="center" vertical="center" wrapText="1"/>
    </xf>
    <xf numFmtId="3" fontId="7" fillId="0" borderId="1" xfId="11" applyNumberFormat="1" applyFont="1" applyBorder="1" applyAlignment="1">
      <alignment horizontal="center" vertical="center" wrapText="1"/>
    </xf>
    <xf numFmtId="166" fontId="16" fillId="0" borderId="0" xfId="5" applyNumberFormat="1" applyFont="1" applyFill="1" applyAlignment="1">
      <alignment horizontal="center" vertical="center" wrapText="1"/>
    </xf>
    <xf numFmtId="0" fontId="16" fillId="0" borderId="2" xfId="3" applyFont="1" applyBorder="1" applyAlignment="1">
      <alignment horizontal="left" vertical="center" wrapText="1"/>
    </xf>
    <xf numFmtId="0" fontId="16" fillId="0" borderId="7" xfId="3" applyFont="1" applyBorder="1" applyAlignment="1">
      <alignment horizontal="center" vertical="center" wrapText="1"/>
    </xf>
    <xf numFmtId="0" fontId="16" fillId="0" borderId="10" xfId="3" applyFont="1" applyBorder="1" applyAlignment="1">
      <alignment horizontal="center" vertical="center" wrapText="1"/>
    </xf>
    <xf numFmtId="166" fontId="7" fillId="0" borderId="0" xfId="1" applyNumberFormat="1" applyFont="1" applyFill="1" applyBorder="1" applyAlignment="1">
      <alignment horizontal="center" vertical="center" wrapText="1"/>
    </xf>
    <xf numFmtId="166" fontId="16" fillId="0" borderId="0" xfId="1" applyNumberFormat="1" applyFont="1" applyFill="1" applyBorder="1" applyAlignment="1">
      <alignment vertical="center" wrapText="1"/>
    </xf>
    <xf numFmtId="166" fontId="22" fillId="0" borderId="0" xfId="1" applyNumberFormat="1" applyFont="1" applyFill="1" applyBorder="1" applyAlignment="1">
      <alignment horizontal="center" vertical="center" wrapText="1"/>
    </xf>
    <xf numFmtId="166" fontId="16" fillId="0" borderId="0" xfId="1" quotePrefix="1" applyNumberFormat="1" applyFont="1" applyFill="1" applyBorder="1" applyAlignment="1">
      <alignment horizontal="right" vertical="center" wrapText="1"/>
    </xf>
    <xf numFmtId="166" fontId="7" fillId="0" borderId="0" xfId="1" quotePrefix="1" applyNumberFormat="1" applyFont="1" applyFill="1" applyBorder="1" applyAlignment="1">
      <alignment vertical="center" wrapText="1"/>
    </xf>
    <xf numFmtId="166" fontId="16" fillId="0" borderId="0" xfId="1" applyNumberFormat="1" applyFont="1" applyFill="1" applyBorder="1" applyAlignment="1">
      <alignment horizontal="right" wrapText="1"/>
    </xf>
    <xf numFmtId="166" fontId="22" fillId="0" borderId="0" xfId="1" applyNumberFormat="1" applyFont="1" applyFill="1" applyBorder="1" applyAlignment="1">
      <alignment wrapText="1"/>
    </xf>
    <xf numFmtId="166" fontId="7" fillId="0" borderId="0" xfId="1" applyNumberFormat="1" applyFont="1" applyFill="1" applyAlignment="1">
      <alignment horizontal="left" vertical="center" wrapText="1"/>
    </xf>
    <xf numFmtId="166" fontId="7" fillId="0" borderId="1" xfId="1" applyNumberFormat="1" applyFont="1" applyFill="1" applyBorder="1" applyAlignment="1">
      <alignment horizontal="center" vertical="center" wrapText="1"/>
    </xf>
    <xf numFmtId="166" fontId="16" fillId="0" borderId="1" xfId="1" applyNumberFormat="1" applyFont="1" applyFill="1" applyBorder="1" applyAlignment="1">
      <alignment vertical="center" wrapText="1"/>
    </xf>
    <xf numFmtId="166" fontId="7" fillId="0" borderId="1" xfId="1" applyNumberFormat="1" applyFont="1" applyFill="1" applyBorder="1" applyAlignment="1">
      <alignment vertical="center" wrapText="1"/>
    </xf>
    <xf numFmtId="166" fontId="7" fillId="0" borderId="1" xfId="1" applyNumberFormat="1" applyFont="1" applyFill="1" applyBorder="1" applyAlignment="1">
      <alignment horizontal="right" vertical="center" wrapText="1"/>
    </xf>
    <xf numFmtId="166" fontId="7" fillId="0" borderId="8" xfId="1" applyNumberFormat="1" applyFont="1" applyFill="1" applyBorder="1" applyAlignment="1">
      <alignment horizontal="center" vertical="center" wrapText="1"/>
    </xf>
    <xf numFmtId="166" fontId="16" fillId="0" borderId="2" xfId="1" applyNumberFormat="1" applyFont="1" applyFill="1" applyBorder="1" applyAlignment="1">
      <alignment horizontal="center" vertical="center" wrapText="1"/>
    </xf>
    <xf numFmtId="166" fontId="16" fillId="0" borderId="0" xfId="1" applyNumberFormat="1" applyFont="1" applyFill="1" applyAlignment="1">
      <alignment vertical="center" wrapText="1"/>
    </xf>
    <xf numFmtId="166" fontId="7" fillId="0" borderId="2" xfId="1" applyNumberFormat="1" applyFont="1" applyFill="1" applyBorder="1" applyAlignment="1">
      <alignment horizontal="center" vertical="center" wrapText="1"/>
    </xf>
    <xf numFmtId="166" fontId="16" fillId="0" borderId="1" xfId="1" applyNumberFormat="1" applyFont="1" applyFill="1" applyBorder="1" applyAlignment="1">
      <alignment horizontal="center" vertical="center" wrapText="1"/>
    </xf>
    <xf numFmtId="0" fontId="16" fillId="0" borderId="1" xfId="3" applyFont="1" applyBorder="1" applyAlignment="1">
      <alignment horizontal="left" vertical="center" wrapText="1"/>
    </xf>
    <xf numFmtId="0" fontId="16" fillId="0" borderId="1" xfId="3" applyFont="1" applyBorder="1" applyAlignment="1">
      <alignment horizontal="left" vertical="top" wrapText="1"/>
    </xf>
    <xf numFmtId="2" fontId="7" fillId="0" borderId="0" xfId="3" applyNumberFormat="1" applyFont="1" applyAlignment="1">
      <alignment horizontal="center" vertical="center" wrapText="1"/>
    </xf>
    <xf numFmtId="2" fontId="16" fillId="0" borderId="0" xfId="5" applyNumberFormat="1" applyFont="1" applyFill="1" applyBorder="1" applyAlignment="1">
      <alignment vertical="center" wrapText="1"/>
    </xf>
    <xf numFmtId="2" fontId="22" fillId="0" borderId="0" xfId="6" applyNumberFormat="1" applyFont="1" applyAlignment="1">
      <alignment horizontal="center" vertical="center" wrapText="1"/>
    </xf>
    <xf numFmtId="2" fontId="16" fillId="0" borderId="0" xfId="5" applyNumberFormat="1" applyFont="1" applyFill="1" applyBorder="1" applyAlignment="1">
      <alignment horizontal="right" vertical="center" wrapText="1"/>
    </xf>
    <xf numFmtId="2" fontId="7" fillId="0" borderId="0" xfId="5" applyNumberFormat="1" applyFont="1" applyFill="1" applyAlignment="1">
      <alignment horizontal="left" vertical="center" wrapText="1"/>
    </xf>
    <xf numFmtId="2" fontId="7" fillId="0" borderId="1" xfId="10" applyNumberFormat="1" applyFont="1" applyFill="1" applyBorder="1" applyAlignment="1">
      <alignment horizontal="center" vertical="center" wrapText="1"/>
    </xf>
    <xf numFmtId="2" fontId="16" fillId="0" borderId="1" xfId="10" applyNumberFormat="1" applyFont="1" applyFill="1" applyBorder="1" applyAlignment="1">
      <alignment horizontal="center" vertical="center" wrapText="1"/>
    </xf>
    <xf numFmtId="2" fontId="7" fillId="0" borderId="1" xfId="11" applyNumberFormat="1" applyFont="1" applyBorder="1" applyAlignment="1">
      <alignment horizontal="right" vertical="center" wrapText="1"/>
    </xf>
    <xf numFmtId="2" fontId="16" fillId="0" borderId="0" xfId="5" applyNumberFormat="1" applyFont="1" applyFill="1" applyAlignment="1">
      <alignment vertical="center" wrapText="1"/>
    </xf>
    <xf numFmtId="2" fontId="7" fillId="0" borderId="1"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164" fontId="16" fillId="0" borderId="1" xfId="6" applyNumberFormat="1" applyFont="1" applyBorder="1" applyAlignment="1">
      <alignment horizontal="center" vertical="center" wrapText="1"/>
    </xf>
    <xf numFmtId="9" fontId="16" fillId="0" borderId="1" xfId="3" applyNumberFormat="1" applyFont="1" applyBorder="1" applyAlignment="1">
      <alignment horizontal="center" vertical="center" wrapText="1"/>
    </xf>
    <xf numFmtId="0" fontId="16" fillId="0" borderId="10" xfId="3" applyFont="1" applyBorder="1" applyAlignment="1">
      <alignment horizontal="left" vertical="center" wrapText="1"/>
    </xf>
    <xf numFmtId="164" fontId="13" fillId="3" borderId="1" xfId="1" applyNumberFormat="1" applyFont="1" applyFill="1" applyBorder="1" applyAlignment="1">
      <alignment horizontal="center" vertical="center"/>
    </xf>
    <xf numFmtId="10" fontId="9" fillId="3" borderId="1" xfId="15" applyNumberFormat="1" applyFont="1" applyFill="1" applyBorder="1" applyAlignment="1" applyProtection="1">
      <alignment horizontal="center" vertical="center"/>
      <protection locked="0"/>
    </xf>
    <xf numFmtId="165" fontId="16" fillId="0" borderId="0" xfId="1" applyNumberFormat="1" applyFont="1" applyFill="1" applyBorder="1" applyAlignment="1">
      <alignment vertical="center" wrapText="1"/>
    </xf>
    <xf numFmtId="164" fontId="22" fillId="0" borderId="0" xfId="5" applyNumberFormat="1" applyFont="1" applyFill="1" applyBorder="1" applyAlignment="1">
      <alignment horizontal="right" vertical="center" wrapText="1"/>
    </xf>
    <xf numFmtId="0" fontId="16" fillId="0" borderId="2" xfId="3" applyFont="1" applyBorder="1" applyAlignment="1">
      <alignment vertical="center" wrapText="1"/>
    </xf>
    <xf numFmtId="0" fontId="16" fillId="0" borderId="7" xfId="3" applyFont="1" applyBorder="1" applyAlignment="1">
      <alignment vertical="center" wrapText="1"/>
    </xf>
    <xf numFmtId="164" fontId="14" fillId="3" borderId="1" xfId="1" applyNumberFormat="1" applyFont="1" applyFill="1" applyBorder="1" applyAlignment="1" applyProtection="1">
      <alignment horizontal="center" vertical="center"/>
      <protection locked="0"/>
    </xf>
    <xf numFmtId="166" fontId="9" fillId="0" borderId="0" xfId="1" applyNumberFormat="1" applyFont="1" applyFill="1" applyAlignment="1">
      <alignment horizontal="center" vertical="center" wrapText="1"/>
    </xf>
    <xf numFmtId="166" fontId="16" fillId="0" borderId="0" xfId="1" applyNumberFormat="1" applyFont="1" applyFill="1" applyAlignment="1">
      <alignment horizontal="center" vertical="center" wrapText="1"/>
    </xf>
    <xf numFmtId="166" fontId="6" fillId="0" borderId="0" xfId="1" applyNumberFormat="1" applyFont="1" applyFill="1" applyBorder="1" applyAlignment="1">
      <alignment horizontal="center" vertical="center" wrapText="1"/>
    </xf>
    <xf numFmtId="166" fontId="16" fillId="0" borderId="0" xfId="1" applyNumberFormat="1" applyFont="1" applyFill="1" applyAlignment="1">
      <alignment horizontal="center" wrapText="1"/>
    </xf>
    <xf numFmtId="2" fontId="9" fillId="0" borderId="0" xfId="16" applyNumberFormat="1" applyFont="1" applyAlignment="1">
      <alignment vertical="center" wrapText="1"/>
    </xf>
    <xf numFmtId="1" fontId="16" fillId="0" borderId="1" xfId="5" applyNumberFormat="1" applyFont="1" applyFill="1" applyBorder="1" applyAlignment="1">
      <alignment horizontal="right" vertical="center" wrapText="1"/>
    </xf>
    <xf numFmtId="1" fontId="7" fillId="0" borderId="1" xfId="5" applyNumberFormat="1" applyFont="1" applyFill="1" applyBorder="1" applyAlignment="1">
      <alignment horizontal="right" vertical="center" wrapText="1"/>
    </xf>
    <xf numFmtId="3" fontId="6" fillId="0" borderId="1" xfId="0" applyNumberFormat="1" applyFont="1" applyBorder="1" applyAlignment="1">
      <alignment horizontal="center" vertical="center" wrapText="1"/>
    </xf>
    <xf numFmtId="165" fontId="9" fillId="0" borderId="0" xfId="16" applyNumberFormat="1" applyFont="1" applyAlignment="1">
      <alignment vertical="center" wrapText="1"/>
    </xf>
    <xf numFmtId="166" fontId="9" fillId="0" borderId="0" xfId="1" applyNumberFormat="1" applyFont="1" applyFill="1" applyAlignment="1">
      <alignment vertical="center"/>
    </xf>
    <xf numFmtId="166" fontId="6" fillId="0" borderId="1" xfId="1" applyNumberFormat="1" applyFont="1" applyFill="1" applyBorder="1" applyAlignment="1">
      <alignment vertical="center"/>
    </xf>
    <xf numFmtId="166" fontId="6" fillId="0" borderId="0" xfId="1" applyNumberFormat="1" applyFont="1" applyFill="1" applyBorder="1" applyAlignment="1">
      <alignment vertical="center"/>
    </xf>
    <xf numFmtId="166" fontId="9" fillId="0" borderId="0" xfId="16" applyNumberFormat="1" applyFont="1" applyAlignment="1">
      <alignment vertical="center" wrapText="1"/>
    </xf>
    <xf numFmtId="166" fontId="9" fillId="0" borderId="0" xfId="1" applyNumberFormat="1" applyFont="1" applyFill="1"/>
    <xf numFmtId="0" fontId="4" fillId="0" borderId="1" xfId="3" applyFont="1" applyBorder="1" applyAlignment="1">
      <alignment horizontal="center" vertical="center" wrapText="1"/>
    </xf>
    <xf numFmtId="37" fontId="9" fillId="0" borderId="0" xfId="16" applyNumberFormat="1" applyFont="1" applyAlignment="1">
      <alignment vertical="center" wrapText="1"/>
    </xf>
    <xf numFmtId="0" fontId="36" fillId="0" borderId="0" xfId="16" applyFont="1" applyAlignment="1">
      <alignment vertical="center" wrapText="1"/>
    </xf>
    <xf numFmtId="1" fontId="13" fillId="3" borderId="1" xfId="1" applyNumberFormat="1" applyFont="1" applyFill="1" applyBorder="1" applyAlignment="1" applyProtection="1">
      <alignment horizontal="right" vertical="center"/>
      <protection locked="0"/>
    </xf>
    <xf numFmtId="165" fontId="13" fillId="3" borderId="1" xfId="1" applyNumberFormat="1" applyFont="1" applyFill="1" applyBorder="1" applyAlignment="1" applyProtection="1">
      <alignment vertical="center"/>
      <protection locked="0"/>
    </xf>
    <xf numFmtId="0" fontId="16" fillId="0" borderId="0" xfId="3" applyFont="1" applyAlignment="1">
      <alignment horizontal="left" vertical="center" wrapText="1"/>
    </xf>
    <xf numFmtId="0" fontId="16" fillId="0" borderId="7" xfId="3" applyFont="1" applyBorder="1" applyAlignment="1">
      <alignment horizontal="left" vertical="center" wrapText="1"/>
    </xf>
    <xf numFmtId="166" fontId="16" fillId="0" borderId="0" xfId="1" applyNumberFormat="1" applyFont="1" applyFill="1" applyBorder="1" applyAlignment="1">
      <alignment horizontal="right" vertical="center" wrapText="1"/>
    </xf>
    <xf numFmtId="0" fontId="31" fillId="0" borderId="0" xfId="3" applyFont="1" applyAlignment="1">
      <alignment vertical="center" wrapText="1"/>
    </xf>
    <xf numFmtId="164" fontId="22" fillId="0" borderId="0" xfId="3" applyNumberFormat="1" applyFont="1" applyAlignment="1">
      <alignment horizontal="right" vertical="center" wrapText="1"/>
    </xf>
    <xf numFmtId="0" fontId="34" fillId="0" borderId="0" xfId="3" applyFont="1" applyAlignment="1">
      <alignment vertical="center" wrapText="1"/>
    </xf>
    <xf numFmtId="166" fontId="22" fillId="0" borderId="0" xfId="1" applyNumberFormat="1" applyFont="1" applyFill="1" applyBorder="1" applyAlignment="1">
      <alignment vertical="center" wrapText="1"/>
    </xf>
    <xf numFmtId="0" fontId="22" fillId="0" borderId="0" xfId="3" applyFont="1" applyAlignment="1">
      <alignment vertical="center" wrapText="1"/>
    </xf>
    <xf numFmtId="0" fontId="16" fillId="0" borderId="0" xfId="6" applyFont="1" applyAlignment="1">
      <alignment vertical="center"/>
    </xf>
    <xf numFmtId="0" fontId="7" fillId="0" borderId="0" xfId="7" applyFont="1" applyAlignment="1">
      <alignment vertical="center" wrapText="1"/>
    </xf>
    <xf numFmtId="0" fontId="38" fillId="0" borderId="0" xfId="0" applyFont="1" applyAlignment="1">
      <alignment vertical="center" wrapText="1"/>
    </xf>
    <xf numFmtId="0" fontId="36" fillId="0" borderId="0" xfId="16" applyFont="1" applyAlignment="1">
      <alignment horizontal="right" vertical="center" wrapText="1"/>
    </xf>
    <xf numFmtId="37" fontId="16" fillId="0" borderId="1" xfId="1" applyNumberFormat="1" applyFont="1" applyFill="1" applyBorder="1" applyAlignment="1">
      <alignment horizontal="right" vertical="center" wrapText="1"/>
    </xf>
    <xf numFmtId="0" fontId="36" fillId="0" borderId="0" xfId="0" applyFont="1" applyAlignment="1">
      <alignment horizontal="left" vertical="center"/>
    </xf>
    <xf numFmtId="165" fontId="13" fillId="3" borderId="2" xfId="1" applyNumberFormat="1" applyFont="1" applyFill="1" applyBorder="1" applyAlignment="1" applyProtection="1">
      <alignment vertical="center"/>
      <protection locked="0"/>
    </xf>
    <xf numFmtId="0" fontId="22" fillId="0" borderId="0" xfId="3" applyFont="1" applyAlignment="1">
      <alignment horizontal="left" vertical="center" wrapText="1"/>
    </xf>
    <xf numFmtId="49" fontId="16" fillId="0" borderId="0" xfId="19" quotePrefix="1" applyNumberFormat="1" applyFont="1" applyAlignment="1">
      <alignment horizontal="center" vertical="center"/>
    </xf>
    <xf numFmtId="168" fontId="16" fillId="0" borderId="0" xfId="1" applyNumberFormat="1" applyFont="1" applyFill="1" applyBorder="1" applyAlignment="1">
      <alignment horizontal="right" vertical="center" wrapText="1"/>
    </xf>
    <xf numFmtId="0" fontId="16" fillId="0" borderId="0" xfId="3" applyFont="1" applyAlignment="1">
      <alignment horizontal="left" vertical="center"/>
    </xf>
    <xf numFmtId="170" fontId="16" fillId="0" borderId="0" xfId="3" applyNumberFormat="1" applyFont="1" applyAlignment="1">
      <alignment horizontal="left" wrapText="1"/>
    </xf>
    <xf numFmtId="171" fontId="16" fillId="0" borderId="0" xfId="3" applyNumberFormat="1" applyFont="1" applyAlignment="1">
      <alignment horizontal="left" wrapText="1"/>
    </xf>
    <xf numFmtId="168" fontId="22" fillId="0" borderId="0" xfId="5" applyNumberFormat="1" applyFont="1" applyFill="1" applyBorder="1" applyAlignment="1">
      <alignment horizontal="right" vertical="center" wrapText="1"/>
    </xf>
    <xf numFmtId="2" fontId="19" fillId="0" borderId="1" xfId="7" applyNumberFormat="1" applyFont="1" applyBorder="1" applyAlignment="1">
      <alignment horizontal="center" vertical="center" wrapText="1"/>
    </xf>
    <xf numFmtId="3" fontId="19" fillId="0" borderId="2" xfId="20" applyNumberFormat="1" applyFont="1" applyFill="1" applyBorder="1" applyAlignment="1">
      <alignment horizontal="center" vertical="center" wrapText="1"/>
    </xf>
    <xf numFmtId="0" fontId="19" fillId="0" borderId="1" xfId="7" applyFont="1" applyBorder="1" applyAlignment="1">
      <alignment horizontal="center" vertical="center" wrapText="1"/>
    </xf>
    <xf numFmtId="14" fontId="9" fillId="0" borderId="1" xfId="0" applyNumberFormat="1" applyFont="1" applyBorder="1" applyAlignment="1" applyProtection="1">
      <alignment horizontal="center" vertical="center" wrapText="1"/>
      <protection locked="0"/>
    </xf>
    <xf numFmtId="49" fontId="16" fillId="0" borderId="0" xfId="19" quotePrefix="1" applyNumberFormat="1" applyFont="1" applyAlignment="1">
      <alignment horizontal="left" vertical="center"/>
    </xf>
    <xf numFmtId="165" fontId="16" fillId="0" borderId="0" xfId="1" applyNumberFormat="1" applyFont="1" applyFill="1" applyBorder="1" applyAlignment="1">
      <alignment horizontal="right" vertical="center" wrapText="1"/>
    </xf>
    <xf numFmtId="0" fontId="16" fillId="3" borderId="0" xfId="3" applyFont="1" applyFill="1" applyAlignment="1">
      <alignment vertical="center" wrapText="1"/>
    </xf>
    <xf numFmtId="2" fontId="16" fillId="0" borderId="1" xfId="6" applyNumberFormat="1" applyFont="1" applyBorder="1" applyAlignment="1">
      <alignment horizontal="center" vertical="center" wrapText="1"/>
    </xf>
    <xf numFmtId="1" fontId="16" fillId="0" borderId="1" xfId="10" applyNumberFormat="1" applyFont="1" applyFill="1" applyBorder="1" applyAlignment="1">
      <alignment horizontal="center" vertical="center" wrapText="1"/>
    </xf>
    <xf numFmtId="37" fontId="16" fillId="0" borderId="1" xfId="13" applyNumberFormat="1" applyFont="1" applyFill="1" applyBorder="1" applyAlignment="1">
      <alignment horizontal="center" vertical="center" wrapText="1"/>
    </xf>
    <xf numFmtId="37" fontId="16" fillId="0" borderId="1" xfId="13" applyNumberFormat="1" applyFont="1" applyFill="1" applyBorder="1" applyAlignment="1">
      <alignment vertical="center" wrapText="1"/>
    </xf>
    <xf numFmtId="3" fontId="16" fillId="0" borderId="2" xfId="20" applyNumberFormat="1" applyFont="1" applyFill="1" applyBorder="1" applyAlignment="1">
      <alignment horizontal="center" vertical="center" wrapText="1"/>
    </xf>
    <xf numFmtId="166" fontId="16" fillId="0" borderId="1" xfId="1" applyNumberFormat="1" applyFont="1" applyFill="1" applyBorder="1" applyAlignment="1">
      <alignment horizontal="right" vertical="center" wrapText="1"/>
    </xf>
    <xf numFmtId="172" fontId="9" fillId="0" borderId="0" xfId="16" applyNumberFormat="1" applyFont="1" applyAlignment="1">
      <alignment vertical="center" wrapText="1"/>
    </xf>
    <xf numFmtId="170" fontId="9" fillId="0" borderId="0" xfId="16" applyNumberFormat="1" applyFont="1" applyAlignment="1">
      <alignment horizontal="center" vertical="center" wrapText="1"/>
    </xf>
    <xf numFmtId="170" fontId="36" fillId="0" borderId="0" xfId="16" applyNumberFormat="1" applyFont="1" applyAlignment="1">
      <alignment vertical="center" wrapText="1"/>
    </xf>
    <xf numFmtId="10" fontId="9" fillId="2" borderId="1" xfId="15" applyNumberFormat="1" applyFont="1" applyFill="1" applyBorder="1" applyAlignment="1" applyProtection="1">
      <alignment horizontal="center" vertical="center"/>
      <protection locked="0"/>
    </xf>
    <xf numFmtId="10" fontId="40" fillId="3" borderId="1" xfId="15" applyNumberFormat="1" applyFont="1" applyFill="1" applyBorder="1" applyAlignment="1" applyProtection="1">
      <alignment horizontal="center" vertical="center"/>
      <protection locked="0"/>
    </xf>
    <xf numFmtId="0" fontId="6" fillId="0" borderId="0" xfId="16" applyFont="1" applyAlignment="1">
      <alignment horizontal="left" vertical="center"/>
    </xf>
    <xf numFmtId="49" fontId="13" fillId="0" borderId="1" xfId="0" quotePrefix="1" applyNumberFormat="1"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166" fontId="6" fillId="0" borderId="0" xfId="18" applyNumberFormat="1" applyFont="1" applyFill="1" applyAlignment="1">
      <alignment horizontal="center" vertical="center" wrapText="1"/>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13" fillId="0" borderId="1" xfId="0" applyFont="1" applyBorder="1" applyAlignment="1">
      <alignment horizontal="left" vertical="center"/>
    </xf>
    <xf numFmtId="0" fontId="6" fillId="0" borderId="1" xfId="0" applyFont="1" applyBorder="1" applyAlignment="1">
      <alignment horizontal="center" vertical="center"/>
    </xf>
    <xf numFmtId="3" fontId="9" fillId="0" borderId="2" xfId="0" applyNumberFormat="1" applyFont="1" applyBorder="1" applyAlignment="1" applyProtection="1">
      <alignment horizontal="center" vertical="center" wrapText="1"/>
      <protection locked="0"/>
    </xf>
    <xf numFmtId="3" fontId="9" fillId="0" borderId="7" xfId="0" applyNumberFormat="1" applyFont="1" applyBorder="1" applyAlignment="1" applyProtection="1">
      <alignment horizontal="center" vertical="center" wrapText="1"/>
      <protection locked="0"/>
    </xf>
    <xf numFmtId="3" fontId="16" fillId="0" borderId="2" xfId="1" applyNumberFormat="1" applyFont="1" applyFill="1" applyBorder="1" applyAlignment="1">
      <alignment horizontal="right" vertical="center" wrapText="1"/>
    </xf>
    <xf numFmtId="3" fontId="16" fillId="0" borderId="7" xfId="1" applyNumberFormat="1" applyFont="1" applyFill="1" applyBorder="1" applyAlignment="1">
      <alignment horizontal="right" vertical="center" wrapText="1"/>
    </xf>
    <xf numFmtId="37" fontId="9" fillId="0" borderId="2" xfId="0" applyNumberFormat="1" applyFont="1" applyBorder="1" applyAlignment="1" applyProtection="1">
      <alignment horizontal="center" vertical="center" wrapText="1"/>
      <protection locked="0"/>
    </xf>
    <xf numFmtId="37" fontId="9" fillId="0" borderId="7" xfId="0" applyNumberFormat="1" applyFont="1" applyBorder="1" applyAlignment="1" applyProtection="1">
      <alignment horizontal="center" vertical="center" wrapText="1"/>
      <protection locked="0"/>
    </xf>
    <xf numFmtId="3" fontId="16" fillId="0" borderId="2" xfId="1" applyNumberFormat="1" applyFont="1" applyFill="1" applyBorder="1" applyAlignment="1">
      <alignment horizontal="center" vertical="center" wrapText="1"/>
    </xf>
    <xf numFmtId="3" fontId="16" fillId="0" borderId="7" xfId="1" applyNumberFormat="1" applyFont="1" applyFill="1" applyBorder="1" applyAlignment="1">
      <alignment horizontal="center" vertical="center" wrapText="1"/>
    </xf>
    <xf numFmtId="166" fontId="9" fillId="0" borderId="2" xfId="1" applyNumberFormat="1" applyFont="1" applyFill="1" applyBorder="1" applyAlignment="1" applyProtection="1">
      <alignment horizontal="center" vertical="center" wrapText="1"/>
      <protection locked="0"/>
    </xf>
    <xf numFmtId="166" fontId="9" fillId="0" borderId="7" xfId="1" applyNumberFormat="1" applyFont="1" applyFill="1" applyBorder="1" applyAlignment="1" applyProtection="1">
      <alignment horizontal="center" vertical="center" wrapText="1"/>
      <protection locked="0"/>
    </xf>
    <xf numFmtId="166" fontId="9" fillId="0" borderId="2" xfId="0" applyNumberFormat="1" applyFont="1" applyBorder="1" applyAlignment="1" applyProtection="1">
      <alignment horizontal="center" vertical="center" wrapText="1"/>
      <protection locked="0"/>
    </xf>
    <xf numFmtId="166" fontId="9" fillId="0" borderId="7" xfId="0" applyNumberFormat="1" applyFont="1" applyBorder="1" applyAlignment="1" applyProtection="1">
      <alignment horizontal="center" vertical="center" wrapText="1"/>
      <protection locked="0"/>
    </xf>
    <xf numFmtId="0" fontId="7" fillId="0" borderId="2" xfId="6" applyFont="1" applyBorder="1" applyAlignment="1">
      <alignment horizontal="center" vertical="center" wrapText="1"/>
    </xf>
    <xf numFmtId="0" fontId="7" fillId="0" borderId="7" xfId="6" applyFont="1" applyBorder="1" applyAlignment="1">
      <alignment horizontal="center" vertical="center" wrapText="1"/>
    </xf>
    <xf numFmtId="0" fontId="14" fillId="0" borderId="1" xfId="6" applyFont="1" applyBorder="1" applyAlignment="1">
      <alignment horizontal="center" vertical="center" wrapText="1"/>
    </xf>
    <xf numFmtId="166" fontId="7" fillId="0" borderId="1" xfId="1"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7" fillId="0" borderId="0" xfId="0" applyFont="1" applyAlignment="1">
      <alignment horizontal="center" vertical="center"/>
    </xf>
    <xf numFmtId="0" fontId="6" fillId="0" borderId="1" xfId="16" applyFont="1" applyBorder="1" applyAlignment="1">
      <alignment horizontal="center" vertical="center" wrapText="1"/>
    </xf>
    <xf numFmtId="0" fontId="6" fillId="0" borderId="1" xfId="0" applyFont="1" applyBorder="1" applyAlignment="1">
      <alignment horizontal="center" vertical="center" wrapText="1"/>
    </xf>
    <xf numFmtId="165" fontId="6" fillId="0" borderId="2" xfId="1" applyNumberFormat="1" applyFont="1" applyFill="1" applyBorder="1" applyAlignment="1">
      <alignment horizontal="center" vertical="center" wrapText="1"/>
    </xf>
    <xf numFmtId="165" fontId="6" fillId="0" borderId="7" xfId="1" applyNumberFormat="1" applyFont="1" applyFill="1" applyBorder="1" applyAlignment="1">
      <alignment horizontal="center" vertical="center" wrapText="1"/>
    </xf>
    <xf numFmtId="0" fontId="6" fillId="0" borderId="1" xfId="2" applyFont="1" applyBorder="1" applyAlignment="1">
      <alignment horizontal="center" vertical="center" wrapText="1"/>
    </xf>
    <xf numFmtId="165" fontId="6" fillId="0" borderId="1" xfId="1"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49" fontId="7" fillId="0" borderId="1" xfId="12" applyNumberFormat="1" applyFont="1" applyFill="1" applyBorder="1" applyAlignment="1">
      <alignment horizontal="center" vertical="center" wrapText="1"/>
    </xf>
    <xf numFmtId="0" fontId="36" fillId="0" borderId="0" xfId="16" applyFont="1" applyAlignment="1">
      <alignment horizontal="left" vertical="center" wrapText="1"/>
    </xf>
    <xf numFmtId="164" fontId="9" fillId="0" borderId="1" xfId="0" applyNumberFormat="1"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1" xfId="0" quotePrefix="1" applyFont="1" applyBorder="1" applyAlignment="1" applyProtection="1">
      <alignment horizontal="center" vertical="center"/>
      <protection locked="0"/>
    </xf>
    <xf numFmtId="10" fontId="9" fillId="2" borderId="2" xfId="15" applyNumberFormat="1" applyFont="1" applyFill="1" applyBorder="1" applyAlignment="1" applyProtection="1">
      <alignment horizontal="center" vertical="center"/>
      <protection locked="0"/>
    </xf>
    <xf numFmtId="10" fontId="9" fillId="2" borderId="7" xfId="15" applyNumberFormat="1" applyFont="1" applyFill="1" applyBorder="1" applyAlignment="1" applyProtection="1">
      <alignment horizontal="center" vertical="center"/>
      <protection locked="0"/>
    </xf>
    <xf numFmtId="165" fontId="14" fillId="3" borderId="2" xfId="1" applyNumberFormat="1" applyFont="1" applyFill="1" applyBorder="1" applyAlignment="1" applyProtection="1">
      <alignment horizontal="center" vertical="center"/>
      <protection locked="0"/>
    </xf>
    <xf numFmtId="165" fontId="14" fillId="3" borderId="7" xfId="1" applyNumberFormat="1" applyFont="1" applyFill="1" applyBorder="1" applyAlignment="1" applyProtection="1">
      <alignment horizontal="center" vertical="center"/>
      <protection locked="0"/>
    </xf>
    <xf numFmtId="0" fontId="9" fillId="0" borderId="2" xfId="0" quotePrefix="1"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3" borderId="2"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164" fontId="14" fillId="3" borderId="2" xfId="1" applyNumberFormat="1" applyFont="1" applyFill="1" applyBorder="1" applyAlignment="1" applyProtection="1">
      <alignment horizontal="center" vertical="center"/>
      <protection locked="0"/>
    </xf>
    <xf numFmtId="164" fontId="14" fillId="3" borderId="7" xfId="1" applyNumberFormat="1" applyFont="1" applyFill="1" applyBorder="1" applyAlignment="1" applyProtection="1">
      <alignment horizontal="center" vertical="center"/>
      <protection locked="0"/>
    </xf>
    <xf numFmtId="0" fontId="9" fillId="0" borderId="0" xfId="0" applyFont="1" applyAlignment="1">
      <alignment vertical="center"/>
    </xf>
    <xf numFmtId="0" fontId="9" fillId="0" borderId="0" xfId="0" applyFont="1" applyAlignment="1">
      <alignment vertical="center" wrapText="1"/>
    </xf>
    <xf numFmtId="49" fontId="6" fillId="0" borderId="2"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16" fillId="0" borderId="2" xfId="12" quotePrefix="1" applyNumberFormat="1" applyFont="1" applyFill="1" applyBorder="1" applyAlignment="1">
      <alignment horizontal="center" vertical="center" wrapText="1"/>
    </xf>
    <xf numFmtId="0" fontId="16" fillId="0" borderId="10" xfId="12" quotePrefix="1" applyNumberFormat="1" applyFont="1" applyFill="1" applyBorder="1" applyAlignment="1">
      <alignment horizontal="center" vertical="center" wrapText="1"/>
    </xf>
    <xf numFmtId="0" fontId="16" fillId="0" borderId="7" xfId="12" quotePrefix="1" applyNumberFormat="1" applyFont="1" applyFill="1" applyBorder="1" applyAlignment="1">
      <alignment horizontal="center" vertical="center" wrapText="1"/>
    </xf>
    <xf numFmtId="0" fontId="6" fillId="0" borderId="2" xfId="2" applyFont="1" applyBorder="1" applyAlignment="1">
      <alignment horizontal="center" vertical="center" wrapText="1"/>
    </xf>
    <xf numFmtId="0" fontId="6" fillId="0" borderId="7" xfId="2" applyFont="1" applyBorder="1" applyAlignment="1">
      <alignment horizontal="center" vertical="center" wrapText="1"/>
    </xf>
    <xf numFmtId="0" fontId="7" fillId="0" borderId="1" xfId="6" applyFont="1" applyBorder="1" applyAlignment="1">
      <alignment horizontal="center" vertical="center" wrapText="1"/>
    </xf>
    <xf numFmtId="49" fontId="7" fillId="0" borderId="2" xfId="12" applyNumberFormat="1" applyFont="1" applyFill="1" applyBorder="1" applyAlignment="1">
      <alignment horizontal="center" vertical="center" wrapText="1"/>
    </xf>
    <xf numFmtId="49" fontId="7" fillId="0" borderId="7" xfId="12" applyNumberFormat="1" applyFont="1" applyFill="1" applyBorder="1" applyAlignment="1">
      <alignment horizontal="center" vertical="center" wrapText="1"/>
    </xf>
    <xf numFmtId="0" fontId="6" fillId="0" borderId="2" xfId="16" applyFont="1" applyBorder="1" applyAlignment="1">
      <alignment horizontal="center" vertical="center" wrapText="1"/>
    </xf>
    <xf numFmtId="0" fontId="6" fillId="0" borderId="7" xfId="16" applyFont="1" applyBorder="1" applyAlignment="1">
      <alignment horizontal="center" vertical="center" wrapText="1"/>
    </xf>
    <xf numFmtId="0" fontId="36" fillId="0" borderId="0" xfId="16" applyFont="1" applyAlignment="1">
      <alignment horizontal="center" vertical="center" wrapText="1"/>
    </xf>
    <xf numFmtId="166" fontId="6" fillId="0" borderId="0" xfId="18" applyNumberFormat="1" applyFont="1" applyFill="1" applyAlignment="1">
      <alignment horizontal="right" vertical="center" wrapText="1"/>
    </xf>
    <xf numFmtId="0" fontId="28" fillId="0" borderId="2" xfId="16" applyFont="1" applyBorder="1" applyAlignment="1">
      <alignment horizontal="center" vertical="center" wrapText="1"/>
    </xf>
    <xf numFmtId="0" fontId="28" fillId="0" borderId="7" xfId="16" applyFont="1" applyBorder="1" applyAlignment="1">
      <alignment horizontal="center" vertical="center" wrapText="1"/>
    </xf>
    <xf numFmtId="49" fontId="30" fillId="0" borderId="1" xfId="12" applyNumberFormat="1" applyFont="1" applyFill="1" applyBorder="1" applyAlignment="1">
      <alignment horizontal="center" vertical="center" wrapText="1"/>
    </xf>
    <xf numFmtId="49" fontId="30" fillId="0" borderId="2" xfId="12" applyNumberFormat="1" applyFont="1" applyFill="1" applyBorder="1" applyAlignment="1">
      <alignment horizontal="center" vertical="center" wrapText="1"/>
    </xf>
    <xf numFmtId="49" fontId="30" fillId="0" borderId="7" xfId="12" applyNumberFormat="1" applyFont="1" applyFill="1" applyBorder="1" applyAlignment="1">
      <alignment horizontal="center" vertical="center" wrapText="1"/>
    </xf>
    <xf numFmtId="0" fontId="29" fillId="0" borderId="1" xfId="6" applyFont="1" applyBorder="1" applyAlignment="1">
      <alignment horizontal="center" vertical="center" wrapText="1"/>
    </xf>
    <xf numFmtId="0" fontId="28" fillId="0" borderId="1" xfId="16" applyFont="1" applyBorder="1" applyAlignment="1">
      <alignment horizontal="center" vertical="center" wrapText="1"/>
    </xf>
    <xf numFmtId="0" fontId="30" fillId="0" borderId="1" xfId="6" applyFont="1" applyBorder="1" applyAlignment="1">
      <alignment horizontal="center" vertical="center" wrapText="1"/>
    </xf>
    <xf numFmtId="0" fontId="16" fillId="0" borderId="1" xfId="3" applyFont="1" applyBorder="1" applyAlignment="1">
      <alignment horizontal="left" vertical="center" wrapText="1"/>
    </xf>
    <xf numFmtId="0" fontId="16" fillId="0" borderId="3"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3" xfId="3" applyFont="1" applyBorder="1" applyAlignment="1">
      <alignment horizontal="left" vertical="center" wrapText="1"/>
    </xf>
    <xf numFmtId="0" fontId="16" fillId="0" borderId="5" xfId="3" applyFont="1" applyBorder="1" applyAlignment="1">
      <alignment horizontal="left" vertical="center" wrapText="1"/>
    </xf>
    <xf numFmtId="166" fontId="16" fillId="0" borderId="3" xfId="5" applyNumberFormat="1" applyFont="1" applyFill="1" applyBorder="1" applyAlignment="1">
      <alignment horizontal="center" vertical="center" wrapText="1"/>
    </xf>
    <xf numFmtId="166" fontId="16" fillId="0" borderId="5" xfId="5" applyNumberFormat="1" applyFont="1" applyFill="1" applyBorder="1" applyAlignment="1">
      <alignment horizontal="center" vertical="center" wrapText="1"/>
    </xf>
    <xf numFmtId="0" fontId="16" fillId="0" borderId="0" xfId="3" quotePrefix="1" applyFont="1" applyAlignment="1">
      <alignment vertical="center" wrapText="1"/>
    </xf>
    <xf numFmtId="0" fontId="16" fillId="0" borderId="0" xfId="3" quotePrefix="1" applyFont="1" applyAlignment="1">
      <alignment horizontal="left" vertical="center" wrapText="1"/>
    </xf>
    <xf numFmtId="0" fontId="33" fillId="0" borderId="0" xfId="3" applyFont="1" applyAlignment="1">
      <alignment horizontal="left" vertical="center" wrapText="1"/>
    </xf>
    <xf numFmtId="0" fontId="22" fillId="0" borderId="0" xfId="3" applyFont="1" applyAlignment="1">
      <alignment horizontal="center" vertical="center" wrapText="1"/>
    </xf>
    <xf numFmtId="0" fontId="22" fillId="0" borderId="0" xfId="3" quotePrefix="1" applyFont="1" applyAlignment="1">
      <alignment horizontal="left" vertical="center" wrapText="1"/>
    </xf>
    <xf numFmtId="0" fontId="22" fillId="0" borderId="0" xfId="3" applyFont="1" applyAlignment="1">
      <alignment horizontal="left" vertical="center" wrapText="1"/>
    </xf>
    <xf numFmtId="0" fontId="16" fillId="0" borderId="2"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7" xfId="3" applyFont="1" applyBorder="1" applyAlignment="1">
      <alignment horizontal="center" vertical="center" wrapText="1"/>
    </xf>
    <xf numFmtId="0" fontId="7" fillId="0" borderId="1" xfId="3" applyFont="1" applyBorder="1" applyAlignment="1">
      <alignment horizontal="center" vertical="center" wrapText="1"/>
    </xf>
    <xf numFmtId="166" fontId="7" fillId="0" borderId="1" xfId="5" applyNumberFormat="1" applyFont="1" applyFill="1" applyBorder="1" applyAlignment="1">
      <alignment horizontal="center" vertical="center" wrapText="1"/>
    </xf>
    <xf numFmtId="0" fontId="7" fillId="0" borderId="1" xfId="7" applyFont="1" applyBorder="1" applyAlignment="1">
      <alignment horizontal="center" vertical="center" wrapText="1"/>
    </xf>
    <xf numFmtId="0" fontId="16" fillId="0" borderId="9" xfId="6" applyFont="1" applyBorder="1" applyAlignment="1">
      <alignment horizontal="left" vertical="top" wrapText="1"/>
    </xf>
    <xf numFmtId="0" fontId="7" fillId="0" borderId="6" xfId="6" applyFont="1" applyBorder="1" applyAlignment="1">
      <alignment horizontal="justify" vertical="center" wrapText="1"/>
    </xf>
    <xf numFmtId="0" fontId="7" fillId="0" borderId="3" xfId="3" applyFont="1" applyBorder="1" applyAlignment="1">
      <alignment horizontal="left"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49" fontId="16" fillId="0" borderId="0" xfId="3" applyNumberFormat="1" applyFont="1" applyAlignment="1">
      <alignment horizontal="justify" vertical="top" wrapText="1"/>
    </xf>
    <xf numFmtId="0" fontId="16" fillId="0" borderId="2" xfId="3" applyFont="1" applyBorder="1" applyAlignment="1">
      <alignment horizontal="left" vertical="center" wrapText="1"/>
    </xf>
    <xf numFmtId="0" fontId="16"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7" fillId="0" borderId="5" xfId="3" applyFont="1" applyBorder="1" applyAlignment="1">
      <alignment horizontal="center" vertical="center" wrapText="1"/>
    </xf>
    <xf numFmtId="0" fontId="22" fillId="0" borderId="0" xfId="6" applyFont="1" applyAlignment="1">
      <alignment horizontal="center" vertical="center" wrapText="1"/>
    </xf>
    <xf numFmtId="0" fontId="7" fillId="0" borderId="0" xfId="3" applyFont="1" applyAlignment="1">
      <alignment horizontal="center" vertical="center" wrapText="1"/>
    </xf>
    <xf numFmtId="0" fontId="16" fillId="0" borderId="0" xfId="4" applyFont="1" applyAlignment="1">
      <alignment horizontal="center" vertical="center" wrapText="1"/>
    </xf>
    <xf numFmtId="166" fontId="22" fillId="0" borderId="0" xfId="5" applyNumberFormat="1" applyFont="1" applyFill="1" applyBorder="1" applyAlignment="1">
      <alignment horizontal="center" vertical="center" wrapText="1"/>
    </xf>
    <xf numFmtId="0" fontId="16" fillId="0" borderId="0" xfId="3" quotePrefix="1" applyFont="1" applyAlignment="1">
      <alignment horizontal="right" vertical="center" wrapText="1"/>
    </xf>
    <xf numFmtId="0" fontId="7" fillId="0" borderId="0" xfId="4" applyFont="1" applyAlignment="1">
      <alignment horizontal="center" vertical="center" wrapText="1"/>
    </xf>
    <xf numFmtId="0" fontId="7" fillId="0" borderId="0" xfId="7" applyFont="1" applyAlignment="1">
      <alignment horizontal="left" vertical="center" wrapText="1"/>
    </xf>
    <xf numFmtId="49" fontId="16" fillId="0" borderId="0" xfId="3" quotePrefix="1" applyNumberFormat="1" applyFont="1" applyAlignment="1">
      <alignment horizontal="justify" vertical="top" wrapText="1"/>
    </xf>
    <xf numFmtId="0" fontId="16" fillId="0" borderId="0" xfId="3" applyFont="1" applyAlignment="1">
      <alignment horizontal="left" vertical="center" wrapText="1"/>
    </xf>
    <xf numFmtId="0" fontId="7" fillId="0" borderId="6" xfId="3" applyFont="1" applyBorder="1" applyAlignment="1">
      <alignment horizontal="left" vertical="center" wrapText="1"/>
    </xf>
    <xf numFmtId="0" fontId="23" fillId="0" borderId="1" xfId="3" applyFont="1" applyBorder="1" applyAlignment="1">
      <alignment wrapText="1"/>
    </xf>
    <xf numFmtId="166" fontId="7" fillId="0" borderId="3" xfId="5" applyNumberFormat="1" applyFont="1" applyFill="1" applyBorder="1" applyAlignment="1">
      <alignment horizontal="center" vertical="center" wrapText="1"/>
    </xf>
    <xf numFmtId="166" fontId="7" fillId="0" borderId="5" xfId="5" applyNumberFormat="1" applyFont="1" applyFill="1" applyBorder="1" applyAlignment="1">
      <alignment horizontal="center" vertical="center" wrapText="1"/>
    </xf>
    <xf numFmtId="0" fontId="16" fillId="0" borderId="3" xfId="7" applyFont="1" applyBorder="1" applyAlignment="1">
      <alignment horizontal="justify" vertical="center" wrapText="1"/>
    </xf>
    <xf numFmtId="0" fontId="16" fillId="0" borderId="5" xfId="7" applyFont="1" applyBorder="1" applyAlignment="1">
      <alignment horizontal="justify" vertical="center" wrapText="1"/>
    </xf>
    <xf numFmtId="0" fontId="16" fillId="0" borderId="0" xfId="7" quotePrefix="1" applyFont="1" applyAlignment="1">
      <alignment horizontal="left" vertical="center" wrapText="1"/>
    </xf>
    <xf numFmtId="0" fontId="16" fillId="0" borderId="0" xfId="7" applyFont="1" applyAlignment="1">
      <alignment horizontal="left" vertical="center" wrapText="1"/>
    </xf>
    <xf numFmtId="37" fontId="7" fillId="0" borderId="9" xfId="5" applyNumberFormat="1" applyFont="1" applyFill="1" applyBorder="1" applyAlignment="1">
      <alignment horizontal="right" vertical="center" wrapText="1"/>
    </xf>
    <xf numFmtId="37" fontId="26" fillId="0" borderId="0" xfId="3" applyNumberFormat="1" applyFont="1" applyAlignment="1">
      <alignment horizontal="left" vertical="center" wrapText="1"/>
    </xf>
    <xf numFmtId="0" fontId="7" fillId="0" borderId="0" xfId="7" applyFont="1" applyAlignment="1">
      <alignment horizontal="justify" vertical="top" wrapText="1"/>
    </xf>
    <xf numFmtId="0" fontId="7" fillId="0" borderId="9" xfId="7" applyFont="1" applyBorder="1" applyAlignment="1">
      <alignment horizontal="left" vertical="center" wrapText="1"/>
    </xf>
    <xf numFmtId="0" fontId="16" fillId="0" borderId="1" xfId="7" applyFont="1" applyBorder="1" applyAlignment="1">
      <alignment horizontal="left" vertical="center" wrapText="1"/>
    </xf>
    <xf numFmtId="2" fontId="7" fillId="0" borderId="1" xfId="6" applyNumberFormat="1" applyFont="1" applyBorder="1" applyAlignment="1">
      <alignment horizontal="center" vertical="center" wrapText="1"/>
    </xf>
    <xf numFmtId="167" fontId="16" fillId="0" borderId="3" xfId="13" applyNumberFormat="1" applyFont="1" applyFill="1" applyBorder="1" applyAlignment="1">
      <alignment horizontal="center" vertical="center" wrapText="1"/>
    </xf>
    <xf numFmtId="167" fontId="16" fillId="0" borderId="4" xfId="13" applyNumberFormat="1" applyFont="1" applyFill="1" applyBorder="1" applyAlignment="1">
      <alignment horizontal="center" vertical="center" wrapText="1"/>
    </xf>
    <xf numFmtId="167" fontId="16" fillId="0" borderId="5" xfId="13" applyNumberFormat="1" applyFont="1" applyFill="1" applyBorder="1" applyAlignment="1">
      <alignment horizontal="center" vertical="center" wrapText="1"/>
    </xf>
    <xf numFmtId="0" fontId="16" fillId="0" borderId="10" xfId="3" applyFont="1" applyBorder="1" applyAlignment="1">
      <alignment horizontal="left" vertical="center" wrapText="1"/>
    </xf>
    <xf numFmtId="0" fontId="19" fillId="0" borderId="2" xfId="0" applyFont="1" applyBorder="1" applyAlignment="1">
      <alignment horizontal="left" vertical="center"/>
    </xf>
    <xf numFmtId="0" fontId="19" fillId="0" borderId="10" xfId="0" applyFont="1" applyBorder="1" applyAlignment="1">
      <alignment horizontal="left" vertical="center"/>
    </xf>
    <xf numFmtId="0" fontId="19" fillId="0" borderId="7" xfId="0" applyFont="1" applyBorder="1" applyAlignment="1">
      <alignment horizontal="left" vertical="center"/>
    </xf>
    <xf numFmtId="0" fontId="16" fillId="0" borderId="0" xfId="6" applyFont="1" applyAlignment="1">
      <alignment horizontal="left" vertical="top" wrapText="1"/>
    </xf>
    <xf numFmtId="0" fontId="16" fillId="0" borderId="0" xfId="7" applyFont="1" applyAlignment="1">
      <alignment horizontal="justify" vertical="top" wrapText="1"/>
    </xf>
    <xf numFmtId="49" fontId="16" fillId="0" borderId="0" xfId="3" quotePrefix="1" applyNumberFormat="1" applyFont="1" applyAlignment="1">
      <alignment horizontal="justify" vertical="center" wrapText="1"/>
    </xf>
    <xf numFmtId="49" fontId="16" fillId="0" borderId="0" xfId="3" applyNumberFormat="1" applyFont="1" applyAlignment="1">
      <alignment horizontal="justify" vertical="center" wrapText="1"/>
    </xf>
    <xf numFmtId="0" fontId="16" fillId="0" borderId="0" xfId="7" applyFont="1" applyAlignment="1">
      <alignment horizontal="justify" vertical="center" wrapText="1"/>
    </xf>
    <xf numFmtId="0" fontId="7" fillId="0" borderId="0" xfId="7" applyFont="1" applyAlignment="1">
      <alignment horizontal="justify" vertical="center" wrapText="1"/>
    </xf>
    <xf numFmtId="0" fontId="16" fillId="0" borderId="0" xfId="6" applyFont="1" applyAlignment="1">
      <alignment horizontal="left" vertical="center" wrapText="1"/>
    </xf>
    <xf numFmtId="0" fontId="16" fillId="0" borderId="1" xfId="3" applyFont="1" applyBorder="1" applyAlignment="1">
      <alignment horizontal="center" vertical="center" wrapText="1"/>
    </xf>
    <xf numFmtId="37" fontId="16" fillId="0" borderId="3" xfId="13" applyNumberFormat="1" applyFont="1" applyFill="1" applyBorder="1" applyAlignment="1">
      <alignment horizontal="center" vertical="center" wrapText="1"/>
    </xf>
    <xf numFmtId="37" fontId="16" fillId="0" borderId="4" xfId="13" applyNumberFormat="1" applyFont="1" applyFill="1" applyBorder="1" applyAlignment="1">
      <alignment horizontal="center" vertical="center" wrapText="1"/>
    </xf>
    <xf numFmtId="37" fontId="16" fillId="0" borderId="5" xfId="13" applyNumberFormat="1" applyFont="1" applyFill="1" applyBorder="1" applyAlignment="1">
      <alignment horizontal="center" vertical="center" wrapText="1"/>
    </xf>
    <xf numFmtId="0" fontId="16" fillId="0" borderId="0" xfId="7" quotePrefix="1" applyFont="1" applyAlignment="1">
      <alignment vertical="center" wrapText="1"/>
    </xf>
    <xf numFmtId="0" fontId="7" fillId="3" borderId="0" xfId="7" applyFont="1" applyFill="1" applyAlignment="1">
      <alignment horizontal="justify" vertical="top" wrapText="1"/>
    </xf>
    <xf numFmtId="0" fontId="16" fillId="3" borderId="0" xfId="7" applyFont="1" applyFill="1" applyAlignment="1">
      <alignment horizontal="left" vertical="top" wrapText="1"/>
    </xf>
    <xf numFmtId="0" fontId="16" fillId="3" borderId="0" xfId="7" applyFont="1" applyFill="1" applyAlignment="1">
      <alignment horizontal="justify" vertical="top" wrapText="1"/>
    </xf>
  </cellXfs>
  <cellStyles count="21">
    <cellStyle name="Comma" xfId="1" builtinId="3"/>
    <cellStyle name="Comma 2" xfId="5"/>
    <cellStyle name="Comma 2 2" xfId="10"/>
    <cellStyle name="Comma 23 2" xfId="13"/>
    <cellStyle name="Comma 3" xfId="12"/>
    <cellStyle name="Comma 3 2" xfId="18"/>
    <cellStyle name="Comma 3 3" xfId="20"/>
    <cellStyle name="Comma 8" xfId="9"/>
    <cellStyle name="Normal" xfId="0" builtinId="0"/>
    <cellStyle name="Normal 2" xfId="2"/>
    <cellStyle name="Normal 2 2" xfId="3"/>
    <cellStyle name="Normal 3" xfId="7"/>
    <cellStyle name="Normal 4" xfId="6"/>
    <cellStyle name="Normal 5" xfId="8"/>
    <cellStyle name="Normal 5 2" xfId="17"/>
    <cellStyle name="Normal 5 3" xfId="19"/>
    <cellStyle name="Normal 6" xfId="16"/>
    <cellStyle name="Normal_01.Nguyen Thị Thuy" xfId="4"/>
    <cellStyle name="Normal_Đã trừ thuế và khấu hao BẢNG SỐ 1" xfId="11"/>
    <cellStyle name="Percent" xfId="15" builtinId="5"/>
    <cellStyle name="Percent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1063625</xdr:colOff>
      <xdr:row>0</xdr:row>
      <xdr:rowOff>650875</xdr:rowOff>
    </xdr:from>
    <xdr:to>
      <xdr:col>1</xdr:col>
      <xdr:colOff>2032000</xdr:colOff>
      <xdr:row>0</xdr:row>
      <xdr:rowOff>650875</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1444625" y="650875"/>
          <a:ext cx="9683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63500</xdr:colOff>
      <xdr:row>0</xdr:row>
      <xdr:rowOff>650875</xdr:rowOff>
    </xdr:from>
    <xdr:to>
      <xdr:col>23</xdr:col>
      <xdr:colOff>0</xdr:colOff>
      <xdr:row>0</xdr:row>
      <xdr:rowOff>650875</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10874375" y="650875"/>
          <a:ext cx="1809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1065847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9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900-000004000000}"/>
            </a:ext>
          </a:extLst>
        </xdr:cNvPr>
        <xdr:cNvCxnSpPr/>
      </xdr:nvCxnSpPr>
      <xdr:spPr>
        <a:xfrm>
          <a:off x="6483349" y="494508"/>
          <a:ext cx="18412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1332676</xdr:colOff>
      <xdr:row>2</xdr:row>
      <xdr:rowOff>35718</xdr:rowOff>
    </xdr:from>
    <xdr:to>
      <xdr:col>1</xdr:col>
      <xdr:colOff>2168117</xdr:colOff>
      <xdr:row>2</xdr:row>
      <xdr:rowOff>35718</xdr:rowOff>
    </xdr:to>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a:off x="1723201" y="483393"/>
          <a:ext cx="8354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9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9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9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9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0" name="Line 3">
          <a:extLst>
            <a:ext uri="{FF2B5EF4-FFF2-40B4-BE49-F238E27FC236}">
              <a16:creationId xmlns:a16="http://schemas.microsoft.com/office/drawing/2014/main" id="{00000000-0008-0000-0900-00000A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1" name="Line 3">
          <a:extLst>
            <a:ext uri="{FF2B5EF4-FFF2-40B4-BE49-F238E27FC236}">
              <a16:creationId xmlns:a16="http://schemas.microsoft.com/office/drawing/2014/main" id="{00000000-0008-0000-0900-00000B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2" name="Line 3">
          <a:extLst>
            <a:ext uri="{FF2B5EF4-FFF2-40B4-BE49-F238E27FC236}">
              <a16:creationId xmlns:a16="http://schemas.microsoft.com/office/drawing/2014/main" id="{00000000-0008-0000-0900-00000C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3" name="Line 3">
          <a:extLst>
            <a:ext uri="{FF2B5EF4-FFF2-40B4-BE49-F238E27FC236}">
              <a16:creationId xmlns:a16="http://schemas.microsoft.com/office/drawing/2014/main" id="{00000000-0008-0000-0900-00000D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1063942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A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A00-000004000000}"/>
            </a:ext>
          </a:extLst>
        </xdr:cNvPr>
        <xdr:cNvCxnSpPr/>
      </xdr:nvCxnSpPr>
      <xdr:spPr>
        <a:xfrm>
          <a:off x="6483349" y="494508"/>
          <a:ext cx="18412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1332676</xdr:colOff>
      <xdr:row>2</xdr:row>
      <xdr:rowOff>35718</xdr:rowOff>
    </xdr:from>
    <xdr:to>
      <xdr:col>1</xdr:col>
      <xdr:colOff>2168117</xdr:colOff>
      <xdr:row>2</xdr:row>
      <xdr:rowOff>35718</xdr:rowOff>
    </xdr:to>
    <xdr:cxnSp macro="">
      <xdr:nvCxnSpPr>
        <xdr:cNvPr id="5" name="Straight Connector 4">
          <a:extLst>
            <a:ext uri="{FF2B5EF4-FFF2-40B4-BE49-F238E27FC236}">
              <a16:creationId xmlns:a16="http://schemas.microsoft.com/office/drawing/2014/main" id="{00000000-0008-0000-0A00-000005000000}"/>
            </a:ext>
          </a:extLst>
        </xdr:cNvPr>
        <xdr:cNvCxnSpPr/>
      </xdr:nvCxnSpPr>
      <xdr:spPr>
        <a:xfrm>
          <a:off x="1723201" y="483393"/>
          <a:ext cx="8354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A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A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A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A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0" name="Line 3">
          <a:extLst>
            <a:ext uri="{FF2B5EF4-FFF2-40B4-BE49-F238E27FC236}">
              <a16:creationId xmlns:a16="http://schemas.microsoft.com/office/drawing/2014/main" id="{00000000-0008-0000-0A00-00000A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1" name="Line 3">
          <a:extLst>
            <a:ext uri="{FF2B5EF4-FFF2-40B4-BE49-F238E27FC236}">
              <a16:creationId xmlns:a16="http://schemas.microsoft.com/office/drawing/2014/main" id="{00000000-0008-0000-0A00-00000B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2" name="Line 3">
          <a:extLst>
            <a:ext uri="{FF2B5EF4-FFF2-40B4-BE49-F238E27FC236}">
              <a16:creationId xmlns:a16="http://schemas.microsoft.com/office/drawing/2014/main" id="{00000000-0008-0000-0A00-00000C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3" name="Line 3">
          <a:extLst>
            <a:ext uri="{FF2B5EF4-FFF2-40B4-BE49-F238E27FC236}">
              <a16:creationId xmlns:a16="http://schemas.microsoft.com/office/drawing/2014/main" id="{00000000-0008-0000-0A00-00000D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1100137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B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581024</xdr:colOff>
      <xdr:row>2</xdr:row>
      <xdr:rowOff>46833</xdr:rowOff>
    </xdr:from>
    <xdr:to>
      <xdr:col>8</xdr:col>
      <xdr:colOff>660189</xdr:colOff>
      <xdr:row>2</xdr:row>
      <xdr:rowOff>47625</xdr:rowOff>
    </xdr:to>
    <xdr:cxnSp macro="">
      <xdr:nvCxnSpPr>
        <xdr:cNvPr id="4" name="Straight Connector 3">
          <a:extLst>
            <a:ext uri="{FF2B5EF4-FFF2-40B4-BE49-F238E27FC236}">
              <a16:creationId xmlns:a16="http://schemas.microsoft.com/office/drawing/2014/main" id="{00000000-0008-0000-0B00-000004000000}"/>
            </a:ext>
          </a:extLst>
        </xdr:cNvPr>
        <xdr:cNvCxnSpPr/>
      </xdr:nvCxnSpPr>
      <xdr:spPr>
        <a:xfrm>
          <a:off x="6629399" y="494508"/>
          <a:ext cx="20317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1282700</xdr:colOff>
      <xdr:row>2</xdr:row>
      <xdr:rowOff>38100</xdr:rowOff>
    </xdr:from>
    <xdr:to>
      <xdr:col>1</xdr:col>
      <xdr:colOff>2273300</xdr:colOff>
      <xdr:row>2</xdr:row>
      <xdr:rowOff>38100</xdr:rowOff>
    </xdr:to>
    <xdr:cxnSp macro="">
      <xdr:nvCxnSpPr>
        <xdr:cNvPr id="5" name="Straight Connector 4">
          <a:extLst>
            <a:ext uri="{FF2B5EF4-FFF2-40B4-BE49-F238E27FC236}">
              <a16:creationId xmlns:a16="http://schemas.microsoft.com/office/drawing/2014/main" id="{00000000-0008-0000-0B00-000005000000}"/>
            </a:ext>
          </a:extLst>
        </xdr:cNvPr>
        <xdr:cNvCxnSpPr/>
      </xdr:nvCxnSpPr>
      <xdr:spPr>
        <a:xfrm>
          <a:off x="1676400" y="495300"/>
          <a:ext cx="990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B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B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B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B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0" name="Line 3">
          <a:extLst>
            <a:ext uri="{FF2B5EF4-FFF2-40B4-BE49-F238E27FC236}">
              <a16:creationId xmlns:a16="http://schemas.microsoft.com/office/drawing/2014/main" id="{00000000-0008-0000-0B00-00000A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1" name="Line 3">
          <a:extLst>
            <a:ext uri="{FF2B5EF4-FFF2-40B4-BE49-F238E27FC236}">
              <a16:creationId xmlns:a16="http://schemas.microsoft.com/office/drawing/2014/main" id="{00000000-0008-0000-0B00-00000B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10782300"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C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6511924" y="494508"/>
          <a:ext cx="19555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1311233</xdr:colOff>
      <xdr:row>2</xdr:row>
      <xdr:rowOff>37110</xdr:rowOff>
    </xdr:from>
    <xdr:to>
      <xdr:col>1</xdr:col>
      <xdr:colOff>2164772</xdr:colOff>
      <xdr:row>2</xdr:row>
      <xdr:rowOff>37110</xdr:rowOff>
    </xdr:to>
    <xdr:cxnSp macro="">
      <xdr:nvCxnSpPr>
        <xdr:cNvPr id="5" name="Straight Connector 4">
          <a:extLst>
            <a:ext uri="{FF2B5EF4-FFF2-40B4-BE49-F238E27FC236}">
              <a16:creationId xmlns:a16="http://schemas.microsoft.com/office/drawing/2014/main" id="{00000000-0008-0000-0C00-000005000000}"/>
            </a:ext>
          </a:extLst>
        </xdr:cNvPr>
        <xdr:cNvCxnSpPr/>
      </xdr:nvCxnSpPr>
      <xdr:spPr>
        <a:xfrm>
          <a:off x="1707077" y="482435"/>
          <a:ext cx="85353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C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C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C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C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10706100"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D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a:off x="6483349" y="494508"/>
          <a:ext cx="1907965"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1311234</xdr:colOff>
      <xdr:row>2</xdr:row>
      <xdr:rowOff>37110</xdr:rowOff>
    </xdr:from>
    <xdr:to>
      <xdr:col>1</xdr:col>
      <xdr:colOff>2152403</xdr:colOff>
      <xdr:row>2</xdr:row>
      <xdr:rowOff>37110</xdr:rowOff>
    </xdr:to>
    <xdr:cxnSp macro="">
      <xdr:nvCxnSpPr>
        <xdr:cNvPr id="5" name="Straight Connector 4">
          <a:extLst>
            <a:ext uri="{FF2B5EF4-FFF2-40B4-BE49-F238E27FC236}">
              <a16:creationId xmlns:a16="http://schemas.microsoft.com/office/drawing/2014/main" id="{00000000-0008-0000-0D00-000005000000}"/>
            </a:ext>
          </a:extLst>
        </xdr:cNvPr>
        <xdr:cNvCxnSpPr/>
      </xdr:nvCxnSpPr>
      <xdr:spPr>
        <a:xfrm>
          <a:off x="1707078" y="482435"/>
          <a:ext cx="8411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D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D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10725150"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E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E00-000004000000}"/>
            </a:ext>
          </a:extLst>
        </xdr:cNvPr>
        <xdr:cNvCxnSpPr/>
      </xdr:nvCxnSpPr>
      <xdr:spPr>
        <a:xfrm>
          <a:off x="6483349" y="494508"/>
          <a:ext cx="1927015"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1323605</xdr:colOff>
      <xdr:row>2</xdr:row>
      <xdr:rowOff>37110</xdr:rowOff>
    </xdr:from>
    <xdr:to>
      <xdr:col>1</xdr:col>
      <xdr:colOff>2189514</xdr:colOff>
      <xdr:row>2</xdr:row>
      <xdr:rowOff>37110</xdr:rowOff>
    </xdr:to>
    <xdr:cxnSp macro="">
      <xdr:nvCxnSpPr>
        <xdr:cNvPr id="5" name="Straight Connector 4">
          <a:extLst>
            <a:ext uri="{FF2B5EF4-FFF2-40B4-BE49-F238E27FC236}">
              <a16:creationId xmlns:a16="http://schemas.microsoft.com/office/drawing/2014/main" id="{00000000-0008-0000-0E00-000005000000}"/>
            </a:ext>
          </a:extLst>
        </xdr:cNvPr>
        <xdr:cNvCxnSpPr/>
      </xdr:nvCxnSpPr>
      <xdr:spPr>
        <a:xfrm>
          <a:off x="1719449" y="482435"/>
          <a:ext cx="86590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1539217</xdr:colOff>
      <xdr:row>0</xdr:row>
      <xdr:rowOff>612322</xdr:rowOff>
    </xdr:from>
    <xdr:to>
      <xdr:col>1</xdr:col>
      <xdr:colOff>2714379</xdr:colOff>
      <xdr:row>0</xdr:row>
      <xdr:rowOff>615043</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1891642" y="612322"/>
          <a:ext cx="1175162" cy="27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1288968</xdr:colOff>
      <xdr:row>0</xdr:row>
      <xdr:rowOff>656854</xdr:rowOff>
    </xdr:from>
    <xdr:to>
      <xdr:col>20</xdr:col>
      <xdr:colOff>831273</xdr:colOff>
      <xdr:row>0</xdr:row>
      <xdr:rowOff>656856</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12718968" y="656854"/>
          <a:ext cx="173305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1539217</xdr:colOff>
      <xdr:row>0</xdr:row>
      <xdr:rowOff>612322</xdr:rowOff>
    </xdr:from>
    <xdr:to>
      <xdr:col>1</xdr:col>
      <xdr:colOff>2714379</xdr:colOff>
      <xdr:row>0</xdr:row>
      <xdr:rowOff>615043</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1893003" y="612322"/>
          <a:ext cx="1175162" cy="27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734786</xdr:colOff>
      <xdr:row>0</xdr:row>
      <xdr:rowOff>639536</xdr:rowOff>
    </xdr:from>
    <xdr:to>
      <xdr:col>17</xdr:col>
      <xdr:colOff>108856</xdr:colOff>
      <xdr:row>0</xdr:row>
      <xdr:rowOff>639538</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flipV="1">
          <a:off x="9144000" y="639536"/>
          <a:ext cx="187778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10287000" y="628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300-000003000000}"/>
            </a:ext>
          </a:extLst>
        </xdr:cNvPr>
        <xdr:cNvSpPr>
          <a:spLocks noChangeShapeType="1"/>
        </xdr:cNvSpPr>
      </xdr:nvSpPr>
      <xdr:spPr bwMode="auto">
        <a:xfrm flipV="1">
          <a:off x="390525" y="41910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a:off x="6378574" y="465933"/>
          <a:ext cx="18412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1332676</xdr:colOff>
      <xdr:row>2</xdr:row>
      <xdr:rowOff>35718</xdr:rowOff>
    </xdr:from>
    <xdr:to>
      <xdr:col>1</xdr:col>
      <xdr:colOff>2168117</xdr:colOff>
      <xdr:row>2</xdr:row>
      <xdr:rowOff>35718</xdr:rowOff>
    </xdr:to>
    <xdr:cxnSp macro="">
      <xdr:nvCxnSpPr>
        <xdr:cNvPr id="5" name="Straight Connector 4">
          <a:extLst>
            <a:ext uri="{FF2B5EF4-FFF2-40B4-BE49-F238E27FC236}">
              <a16:creationId xmlns:a16="http://schemas.microsoft.com/office/drawing/2014/main" id="{00000000-0008-0000-0300-000005000000}"/>
            </a:ext>
          </a:extLst>
        </xdr:cNvPr>
        <xdr:cNvCxnSpPr/>
      </xdr:nvCxnSpPr>
      <xdr:spPr>
        <a:xfrm>
          <a:off x="1723201" y="454818"/>
          <a:ext cx="8354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3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3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3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3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0" name="Line 3">
          <a:extLst>
            <a:ext uri="{FF2B5EF4-FFF2-40B4-BE49-F238E27FC236}">
              <a16:creationId xmlns:a16="http://schemas.microsoft.com/office/drawing/2014/main" id="{00000000-0008-0000-0300-00000A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1" name="Line 3">
          <a:extLst>
            <a:ext uri="{FF2B5EF4-FFF2-40B4-BE49-F238E27FC236}">
              <a16:creationId xmlns:a16="http://schemas.microsoft.com/office/drawing/2014/main" id="{00000000-0008-0000-0300-00000B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2" name="Line 3">
          <a:extLst>
            <a:ext uri="{FF2B5EF4-FFF2-40B4-BE49-F238E27FC236}">
              <a16:creationId xmlns:a16="http://schemas.microsoft.com/office/drawing/2014/main" id="{00000000-0008-0000-0300-00000C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3" name="Line 3">
          <a:extLst>
            <a:ext uri="{FF2B5EF4-FFF2-40B4-BE49-F238E27FC236}">
              <a16:creationId xmlns:a16="http://schemas.microsoft.com/office/drawing/2014/main" id="{00000000-0008-0000-0300-00000D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1065847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4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a:off x="6483349" y="494508"/>
          <a:ext cx="18412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1332676</xdr:colOff>
      <xdr:row>2</xdr:row>
      <xdr:rowOff>35718</xdr:rowOff>
    </xdr:from>
    <xdr:to>
      <xdr:col>1</xdr:col>
      <xdr:colOff>2168117</xdr:colOff>
      <xdr:row>2</xdr:row>
      <xdr:rowOff>35718</xdr:rowOff>
    </xdr:to>
    <xdr:cxnSp macro="">
      <xdr:nvCxnSpPr>
        <xdr:cNvPr id="5" name="Straight Connector 4">
          <a:extLst>
            <a:ext uri="{FF2B5EF4-FFF2-40B4-BE49-F238E27FC236}">
              <a16:creationId xmlns:a16="http://schemas.microsoft.com/office/drawing/2014/main" id="{00000000-0008-0000-0400-000005000000}"/>
            </a:ext>
          </a:extLst>
        </xdr:cNvPr>
        <xdr:cNvCxnSpPr/>
      </xdr:nvCxnSpPr>
      <xdr:spPr>
        <a:xfrm>
          <a:off x="1723201" y="483393"/>
          <a:ext cx="8354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4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4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4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4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0" name="Line 3">
          <a:extLst>
            <a:ext uri="{FF2B5EF4-FFF2-40B4-BE49-F238E27FC236}">
              <a16:creationId xmlns:a16="http://schemas.microsoft.com/office/drawing/2014/main" id="{00000000-0008-0000-0400-00000A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1" name="Line 3">
          <a:extLst>
            <a:ext uri="{FF2B5EF4-FFF2-40B4-BE49-F238E27FC236}">
              <a16:creationId xmlns:a16="http://schemas.microsoft.com/office/drawing/2014/main" id="{00000000-0008-0000-0400-00000B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2" name="Line 3">
          <a:extLst>
            <a:ext uri="{FF2B5EF4-FFF2-40B4-BE49-F238E27FC236}">
              <a16:creationId xmlns:a16="http://schemas.microsoft.com/office/drawing/2014/main" id="{00000000-0008-0000-0400-00000C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3" name="Line 3">
          <a:extLst>
            <a:ext uri="{FF2B5EF4-FFF2-40B4-BE49-F238E27FC236}">
              <a16:creationId xmlns:a16="http://schemas.microsoft.com/office/drawing/2014/main" id="{00000000-0008-0000-0400-00000D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1065847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5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500-000004000000}"/>
            </a:ext>
          </a:extLst>
        </xdr:cNvPr>
        <xdr:cNvCxnSpPr/>
      </xdr:nvCxnSpPr>
      <xdr:spPr>
        <a:xfrm>
          <a:off x="6483349" y="494508"/>
          <a:ext cx="18412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1332676</xdr:colOff>
      <xdr:row>2</xdr:row>
      <xdr:rowOff>35718</xdr:rowOff>
    </xdr:from>
    <xdr:to>
      <xdr:col>1</xdr:col>
      <xdr:colOff>2168117</xdr:colOff>
      <xdr:row>2</xdr:row>
      <xdr:rowOff>35718</xdr:rowOff>
    </xdr:to>
    <xdr:cxnSp macro="">
      <xdr:nvCxnSpPr>
        <xdr:cNvPr id="5" name="Straight Connector 4">
          <a:extLst>
            <a:ext uri="{FF2B5EF4-FFF2-40B4-BE49-F238E27FC236}">
              <a16:creationId xmlns:a16="http://schemas.microsoft.com/office/drawing/2014/main" id="{00000000-0008-0000-0500-000005000000}"/>
            </a:ext>
          </a:extLst>
        </xdr:cNvPr>
        <xdr:cNvCxnSpPr/>
      </xdr:nvCxnSpPr>
      <xdr:spPr>
        <a:xfrm>
          <a:off x="1723201" y="483393"/>
          <a:ext cx="8354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5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5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5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5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0" name="Line 3">
          <a:extLst>
            <a:ext uri="{FF2B5EF4-FFF2-40B4-BE49-F238E27FC236}">
              <a16:creationId xmlns:a16="http://schemas.microsoft.com/office/drawing/2014/main" id="{00000000-0008-0000-0500-00000A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1" name="Line 3">
          <a:extLst>
            <a:ext uri="{FF2B5EF4-FFF2-40B4-BE49-F238E27FC236}">
              <a16:creationId xmlns:a16="http://schemas.microsoft.com/office/drawing/2014/main" id="{00000000-0008-0000-0500-00000B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2" name="Line 3">
          <a:extLst>
            <a:ext uri="{FF2B5EF4-FFF2-40B4-BE49-F238E27FC236}">
              <a16:creationId xmlns:a16="http://schemas.microsoft.com/office/drawing/2014/main" id="{00000000-0008-0000-0500-00000C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3" name="Line 3">
          <a:extLst>
            <a:ext uri="{FF2B5EF4-FFF2-40B4-BE49-F238E27FC236}">
              <a16:creationId xmlns:a16="http://schemas.microsoft.com/office/drawing/2014/main" id="{00000000-0008-0000-0500-00000D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1065847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6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600-000004000000}"/>
            </a:ext>
          </a:extLst>
        </xdr:cNvPr>
        <xdr:cNvCxnSpPr/>
      </xdr:nvCxnSpPr>
      <xdr:spPr>
        <a:xfrm>
          <a:off x="6483349" y="494508"/>
          <a:ext cx="18412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1332676</xdr:colOff>
      <xdr:row>2</xdr:row>
      <xdr:rowOff>35718</xdr:rowOff>
    </xdr:from>
    <xdr:to>
      <xdr:col>1</xdr:col>
      <xdr:colOff>2168117</xdr:colOff>
      <xdr:row>2</xdr:row>
      <xdr:rowOff>35718</xdr:rowOff>
    </xdr:to>
    <xdr:cxnSp macro="">
      <xdr:nvCxnSpPr>
        <xdr:cNvPr id="5" name="Straight Connector 4">
          <a:extLst>
            <a:ext uri="{FF2B5EF4-FFF2-40B4-BE49-F238E27FC236}">
              <a16:creationId xmlns:a16="http://schemas.microsoft.com/office/drawing/2014/main" id="{00000000-0008-0000-0600-000005000000}"/>
            </a:ext>
          </a:extLst>
        </xdr:cNvPr>
        <xdr:cNvCxnSpPr/>
      </xdr:nvCxnSpPr>
      <xdr:spPr>
        <a:xfrm>
          <a:off x="1723201" y="483393"/>
          <a:ext cx="8354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6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6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6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6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0" name="Line 3">
          <a:extLst>
            <a:ext uri="{FF2B5EF4-FFF2-40B4-BE49-F238E27FC236}">
              <a16:creationId xmlns:a16="http://schemas.microsoft.com/office/drawing/2014/main" id="{00000000-0008-0000-0600-00000A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1" name="Line 3">
          <a:extLst>
            <a:ext uri="{FF2B5EF4-FFF2-40B4-BE49-F238E27FC236}">
              <a16:creationId xmlns:a16="http://schemas.microsoft.com/office/drawing/2014/main" id="{00000000-0008-0000-0600-00000B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2" name="Line 3">
          <a:extLst>
            <a:ext uri="{FF2B5EF4-FFF2-40B4-BE49-F238E27FC236}">
              <a16:creationId xmlns:a16="http://schemas.microsoft.com/office/drawing/2014/main" id="{00000000-0008-0000-0600-00000C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3" name="Line 3">
          <a:extLst>
            <a:ext uri="{FF2B5EF4-FFF2-40B4-BE49-F238E27FC236}">
              <a16:creationId xmlns:a16="http://schemas.microsoft.com/office/drawing/2014/main" id="{00000000-0008-0000-0600-00000D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1065847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7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700-000004000000}"/>
            </a:ext>
          </a:extLst>
        </xdr:cNvPr>
        <xdr:cNvCxnSpPr/>
      </xdr:nvCxnSpPr>
      <xdr:spPr>
        <a:xfrm>
          <a:off x="6483349" y="494508"/>
          <a:ext cx="18412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1332676</xdr:colOff>
      <xdr:row>2</xdr:row>
      <xdr:rowOff>35718</xdr:rowOff>
    </xdr:from>
    <xdr:to>
      <xdr:col>1</xdr:col>
      <xdr:colOff>2168117</xdr:colOff>
      <xdr:row>2</xdr:row>
      <xdr:rowOff>35718</xdr:rowOff>
    </xdr:to>
    <xdr:cxnSp macro="">
      <xdr:nvCxnSpPr>
        <xdr:cNvPr id="5" name="Straight Connector 4">
          <a:extLst>
            <a:ext uri="{FF2B5EF4-FFF2-40B4-BE49-F238E27FC236}">
              <a16:creationId xmlns:a16="http://schemas.microsoft.com/office/drawing/2014/main" id="{00000000-0008-0000-0700-000005000000}"/>
            </a:ext>
          </a:extLst>
        </xdr:cNvPr>
        <xdr:cNvCxnSpPr/>
      </xdr:nvCxnSpPr>
      <xdr:spPr>
        <a:xfrm>
          <a:off x="1723201" y="483393"/>
          <a:ext cx="8354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7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7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7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7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0" name="Line 3">
          <a:extLst>
            <a:ext uri="{FF2B5EF4-FFF2-40B4-BE49-F238E27FC236}">
              <a16:creationId xmlns:a16="http://schemas.microsoft.com/office/drawing/2014/main" id="{00000000-0008-0000-0700-00000A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1" name="Line 3">
          <a:extLst>
            <a:ext uri="{FF2B5EF4-FFF2-40B4-BE49-F238E27FC236}">
              <a16:creationId xmlns:a16="http://schemas.microsoft.com/office/drawing/2014/main" id="{00000000-0008-0000-0700-00000B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2" name="Line 3">
          <a:extLst>
            <a:ext uri="{FF2B5EF4-FFF2-40B4-BE49-F238E27FC236}">
              <a16:creationId xmlns:a16="http://schemas.microsoft.com/office/drawing/2014/main" id="{00000000-0008-0000-0700-00000C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3" name="Line 3">
          <a:extLst>
            <a:ext uri="{FF2B5EF4-FFF2-40B4-BE49-F238E27FC236}">
              <a16:creationId xmlns:a16="http://schemas.microsoft.com/office/drawing/2014/main" id="{00000000-0008-0000-0700-00000D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3</xdr:row>
      <xdr:rowOff>47625</xdr:rowOff>
    </xdr:from>
    <xdr:to>
      <xdr:col>11</xdr:col>
      <xdr:colOff>0</xdr:colOff>
      <xdr:row>3</xdr:row>
      <xdr:rowOff>47625</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1065847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3" name="Line 3">
          <a:extLst>
            <a:ext uri="{FF2B5EF4-FFF2-40B4-BE49-F238E27FC236}">
              <a16:creationId xmlns:a16="http://schemas.microsoft.com/office/drawing/2014/main" id="{00000000-0008-0000-0800-000003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606424</xdr:colOff>
      <xdr:row>2</xdr:row>
      <xdr:rowOff>46833</xdr:rowOff>
    </xdr:from>
    <xdr:to>
      <xdr:col>8</xdr:col>
      <xdr:colOff>685589</xdr:colOff>
      <xdr:row>2</xdr:row>
      <xdr:rowOff>47625</xdr:rowOff>
    </xdr:to>
    <xdr:cxnSp macro="">
      <xdr:nvCxnSpPr>
        <xdr:cNvPr id="4" name="Straight Connector 3">
          <a:extLst>
            <a:ext uri="{FF2B5EF4-FFF2-40B4-BE49-F238E27FC236}">
              <a16:creationId xmlns:a16="http://schemas.microsoft.com/office/drawing/2014/main" id="{00000000-0008-0000-0800-000004000000}"/>
            </a:ext>
          </a:extLst>
        </xdr:cNvPr>
        <xdr:cNvCxnSpPr/>
      </xdr:nvCxnSpPr>
      <xdr:spPr>
        <a:xfrm>
          <a:off x="6483349" y="494508"/>
          <a:ext cx="1841290" cy="7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1332676</xdr:colOff>
      <xdr:row>2</xdr:row>
      <xdr:rowOff>35718</xdr:rowOff>
    </xdr:from>
    <xdr:to>
      <xdr:col>1</xdr:col>
      <xdr:colOff>2168117</xdr:colOff>
      <xdr:row>2</xdr:row>
      <xdr:rowOff>35718</xdr:rowOff>
    </xdr:to>
    <xdr:cxnSp macro="">
      <xdr:nvCxnSpPr>
        <xdr:cNvPr id="5" name="Straight Connector 4">
          <a:extLst>
            <a:ext uri="{FF2B5EF4-FFF2-40B4-BE49-F238E27FC236}">
              <a16:creationId xmlns:a16="http://schemas.microsoft.com/office/drawing/2014/main" id="{00000000-0008-0000-0800-000005000000}"/>
            </a:ext>
          </a:extLst>
        </xdr:cNvPr>
        <xdr:cNvCxnSpPr/>
      </xdr:nvCxnSpPr>
      <xdr:spPr>
        <a:xfrm>
          <a:off x="1723201" y="483393"/>
          <a:ext cx="8354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1647825</xdr:colOff>
      <xdr:row>1</xdr:row>
      <xdr:rowOff>581025</xdr:rowOff>
    </xdr:from>
    <xdr:to>
      <xdr:col>1</xdr:col>
      <xdr:colOff>9525</xdr:colOff>
      <xdr:row>1</xdr:row>
      <xdr:rowOff>581025</xdr:rowOff>
    </xdr:to>
    <xdr:sp macro="" textlink="">
      <xdr:nvSpPr>
        <xdr:cNvPr id="6" name="Line 3">
          <a:extLst>
            <a:ext uri="{FF2B5EF4-FFF2-40B4-BE49-F238E27FC236}">
              <a16:creationId xmlns:a16="http://schemas.microsoft.com/office/drawing/2014/main" id="{00000000-0008-0000-0800-000006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7" name="Line 3">
          <a:extLst>
            <a:ext uri="{FF2B5EF4-FFF2-40B4-BE49-F238E27FC236}">
              <a16:creationId xmlns:a16="http://schemas.microsoft.com/office/drawing/2014/main" id="{00000000-0008-0000-0800-000007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8" name="Line 3">
          <a:extLst>
            <a:ext uri="{FF2B5EF4-FFF2-40B4-BE49-F238E27FC236}">
              <a16:creationId xmlns:a16="http://schemas.microsoft.com/office/drawing/2014/main" id="{00000000-0008-0000-0800-000008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9" name="Line 3">
          <a:extLst>
            <a:ext uri="{FF2B5EF4-FFF2-40B4-BE49-F238E27FC236}">
              <a16:creationId xmlns:a16="http://schemas.microsoft.com/office/drawing/2014/main" id="{00000000-0008-0000-0800-000009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0" name="Line 3">
          <a:extLst>
            <a:ext uri="{FF2B5EF4-FFF2-40B4-BE49-F238E27FC236}">
              <a16:creationId xmlns:a16="http://schemas.microsoft.com/office/drawing/2014/main" id="{00000000-0008-0000-0800-00000A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1" name="Line 3">
          <a:extLst>
            <a:ext uri="{FF2B5EF4-FFF2-40B4-BE49-F238E27FC236}">
              <a16:creationId xmlns:a16="http://schemas.microsoft.com/office/drawing/2014/main" id="{00000000-0008-0000-0800-00000B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2" name="Line 3">
          <a:extLst>
            <a:ext uri="{FF2B5EF4-FFF2-40B4-BE49-F238E27FC236}">
              <a16:creationId xmlns:a16="http://schemas.microsoft.com/office/drawing/2014/main" id="{00000000-0008-0000-0800-00000C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1647825</xdr:colOff>
      <xdr:row>1</xdr:row>
      <xdr:rowOff>581025</xdr:rowOff>
    </xdr:from>
    <xdr:to>
      <xdr:col>1</xdr:col>
      <xdr:colOff>9525</xdr:colOff>
      <xdr:row>1</xdr:row>
      <xdr:rowOff>581025</xdr:rowOff>
    </xdr:to>
    <xdr:sp macro="" textlink="">
      <xdr:nvSpPr>
        <xdr:cNvPr id="13" name="Line 3">
          <a:extLst>
            <a:ext uri="{FF2B5EF4-FFF2-40B4-BE49-F238E27FC236}">
              <a16:creationId xmlns:a16="http://schemas.microsoft.com/office/drawing/2014/main" id="{00000000-0008-0000-0800-00000D000000}"/>
            </a:ext>
          </a:extLst>
        </xdr:cNvPr>
        <xdr:cNvSpPr>
          <a:spLocks noChangeShapeType="1"/>
        </xdr:cNvSpPr>
      </xdr:nvSpPr>
      <xdr:spPr bwMode="auto">
        <a:xfrm flipV="1">
          <a:off x="390525" y="4476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20(x86)/VnToolsExcel/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8"/>
  <sheetViews>
    <sheetView tabSelected="1" view="pageBreakPreview" topLeftCell="A16" zoomScale="60" zoomScaleNormal="55" workbookViewId="0">
      <selection activeCell="W20" sqref="W20"/>
    </sheetView>
  </sheetViews>
  <sheetFormatPr defaultRowHeight="18.75"/>
  <cols>
    <col min="1" max="1" width="5" style="165" customWidth="1"/>
    <col min="2" max="2" width="27.125" style="180" customWidth="1"/>
    <col min="3" max="3" width="36.25" style="180" hidden="1" customWidth="1"/>
    <col min="4" max="4" width="13.125" style="180" customWidth="1"/>
    <col min="5" max="5" width="11.375" style="180" customWidth="1"/>
    <col min="6" max="6" width="20.875" style="165" hidden="1" customWidth="1"/>
    <col min="7" max="8" width="20.875" style="181" hidden="1" customWidth="1"/>
    <col min="9" max="9" width="5.75" style="165" customWidth="1"/>
    <col min="10" max="10" width="7.5" style="165" customWidth="1"/>
    <col min="11" max="11" width="10.75" style="165" customWidth="1"/>
    <col min="12" max="13" width="12.25" style="165" customWidth="1"/>
    <col min="14" max="14" width="10.125" style="193" customWidth="1"/>
    <col min="15" max="15" width="7.625" style="165" customWidth="1"/>
    <col min="16" max="16" width="16" style="182" hidden="1" customWidth="1"/>
    <col min="17" max="17" width="13.75" style="182" hidden="1" customWidth="1"/>
    <col min="18" max="18" width="12.25" style="260" hidden="1" customWidth="1"/>
    <col min="19" max="19" width="10.625" style="165" hidden="1" customWidth="1"/>
    <col min="20" max="20" width="16.875" style="180" hidden="1" customWidth="1"/>
    <col min="21" max="21" width="14.375" style="180" customWidth="1"/>
    <col min="22" max="23" width="12.375" style="180" customWidth="1"/>
    <col min="24" max="24" width="16.875" style="180" customWidth="1"/>
    <col min="25" max="25" width="14.875" style="250" customWidth="1"/>
    <col min="26" max="26" width="13.25" style="180" customWidth="1"/>
    <col min="27" max="27" width="16.625" style="180" customWidth="1"/>
    <col min="28" max="28" width="8.125" style="180" hidden="1" customWidth="1"/>
    <col min="29" max="29" width="13.5" style="180" customWidth="1"/>
    <col min="30" max="30" width="18.5" style="166" bestFit="1" customWidth="1"/>
    <col min="31" max="31" width="16.625" style="166" bestFit="1" customWidth="1"/>
    <col min="32" max="16384" width="9" style="166"/>
  </cols>
  <sheetData>
    <row r="1" spans="1:29" ht="61.5" customHeight="1">
      <c r="B1" s="332" t="s">
        <v>490</v>
      </c>
      <c r="C1" s="332"/>
      <c r="D1" s="332"/>
      <c r="E1" s="161"/>
      <c r="F1" s="2"/>
      <c r="G1" s="29"/>
      <c r="H1" s="29"/>
      <c r="I1" s="2"/>
      <c r="J1" s="332" t="s">
        <v>0</v>
      </c>
      <c r="K1" s="333"/>
      <c r="L1" s="333"/>
      <c r="M1" s="333"/>
      <c r="N1" s="333"/>
      <c r="O1" s="333"/>
      <c r="P1" s="333"/>
      <c r="Q1" s="333"/>
      <c r="R1" s="333"/>
      <c r="S1" s="333"/>
      <c r="T1" s="333"/>
      <c r="U1" s="333"/>
      <c r="V1" s="333"/>
      <c r="W1" s="333"/>
      <c r="X1" s="333"/>
      <c r="Y1" s="333"/>
      <c r="Z1" s="333"/>
      <c r="AA1" s="333"/>
      <c r="AB1" s="333"/>
      <c r="AC1" s="333"/>
    </row>
    <row r="2" spans="1:29">
      <c r="A2" s="334" t="s">
        <v>212</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row>
    <row r="3" spans="1:29" ht="30.75" customHeight="1">
      <c r="A3" s="334" t="s">
        <v>242</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row>
    <row r="4" spans="1:29" s="3" customFormat="1" ht="26.25" customHeight="1">
      <c r="A4" s="336" t="s">
        <v>493</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row>
    <row r="5" spans="1:29" s="4" customFormat="1">
      <c r="A5" s="72"/>
      <c r="B5" s="24"/>
      <c r="C5" s="24"/>
      <c r="D5" s="24"/>
      <c r="E5" s="24"/>
      <c r="F5" s="24"/>
      <c r="G5" s="24"/>
      <c r="H5" s="72"/>
      <c r="I5" s="72"/>
      <c r="J5" s="72"/>
      <c r="K5" s="72"/>
      <c r="L5" s="72"/>
      <c r="M5" s="72"/>
      <c r="N5" s="72"/>
      <c r="O5" s="72"/>
      <c r="P5" s="88"/>
      <c r="Q5" s="88"/>
      <c r="R5" s="256"/>
      <c r="S5" s="72"/>
      <c r="T5" s="24"/>
      <c r="U5" s="24"/>
      <c r="V5" s="24"/>
      <c r="W5" s="24"/>
      <c r="X5" s="24"/>
      <c r="Y5" s="248"/>
      <c r="Z5" s="24"/>
      <c r="AA5" s="24"/>
      <c r="AB5" s="24"/>
      <c r="AC5" s="24"/>
    </row>
    <row r="6" spans="1:29" s="167" customFormat="1" ht="37.5" customHeight="1">
      <c r="A6" s="308" t="s">
        <v>1</v>
      </c>
      <c r="B6" s="338" t="s">
        <v>2</v>
      </c>
      <c r="C6" s="338" t="s">
        <v>95</v>
      </c>
      <c r="D6" s="338" t="s">
        <v>3</v>
      </c>
      <c r="E6" s="338" t="s">
        <v>4</v>
      </c>
      <c r="F6" s="338" t="s">
        <v>54</v>
      </c>
      <c r="G6" s="331" t="s">
        <v>55</v>
      </c>
      <c r="H6" s="331" t="s">
        <v>56</v>
      </c>
      <c r="I6" s="341" t="s">
        <v>5</v>
      </c>
      <c r="J6" s="341"/>
      <c r="K6" s="341"/>
      <c r="L6" s="341"/>
      <c r="M6" s="341"/>
      <c r="N6" s="341"/>
      <c r="O6" s="341"/>
      <c r="P6" s="342" t="s">
        <v>341</v>
      </c>
      <c r="Q6" s="339" t="s">
        <v>338</v>
      </c>
      <c r="R6" s="343" t="s">
        <v>342</v>
      </c>
      <c r="S6" s="338" t="s">
        <v>163</v>
      </c>
      <c r="T6" s="341" t="s">
        <v>44</v>
      </c>
      <c r="U6" s="337" t="s">
        <v>208</v>
      </c>
      <c r="V6" s="329" t="s">
        <v>168</v>
      </c>
      <c r="W6" s="327" t="s">
        <v>209</v>
      </c>
      <c r="X6" s="329" t="s">
        <v>170</v>
      </c>
      <c r="Y6" s="330" t="s">
        <v>207</v>
      </c>
      <c r="Z6" s="329" t="s">
        <v>172</v>
      </c>
      <c r="AA6" s="344" t="s">
        <v>173</v>
      </c>
      <c r="AB6" s="344" t="s">
        <v>176</v>
      </c>
      <c r="AC6" s="337" t="s">
        <v>6</v>
      </c>
    </row>
    <row r="7" spans="1:29" s="167" customFormat="1" ht="110.25" customHeight="1">
      <c r="A7" s="309"/>
      <c r="B7" s="338"/>
      <c r="C7" s="338"/>
      <c r="D7" s="338"/>
      <c r="E7" s="338"/>
      <c r="F7" s="338"/>
      <c r="G7" s="331"/>
      <c r="H7" s="331"/>
      <c r="I7" s="6" t="s">
        <v>7</v>
      </c>
      <c r="J7" s="6" t="s">
        <v>8</v>
      </c>
      <c r="K7" s="7" t="s">
        <v>210</v>
      </c>
      <c r="L7" s="7" t="s">
        <v>349</v>
      </c>
      <c r="M7" s="7" t="s">
        <v>350</v>
      </c>
      <c r="N7" s="146" t="s">
        <v>211</v>
      </c>
      <c r="O7" s="7" t="s">
        <v>12</v>
      </c>
      <c r="P7" s="342"/>
      <c r="Q7" s="340"/>
      <c r="R7" s="343"/>
      <c r="S7" s="338"/>
      <c r="T7" s="341"/>
      <c r="U7" s="337"/>
      <c r="V7" s="329"/>
      <c r="W7" s="328"/>
      <c r="X7" s="329"/>
      <c r="Y7" s="330"/>
      <c r="Z7" s="329"/>
      <c r="AA7" s="344"/>
      <c r="AB7" s="344"/>
      <c r="AC7" s="337"/>
    </row>
    <row r="8" spans="1:29" s="168" customFormat="1" ht="60.75" customHeight="1">
      <c r="A8" s="311">
        <v>1</v>
      </c>
      <c r="B8" s="313" t="s">
        <v>213</v>
      </c>
      <c r="C8" s="10" t="s">
        <v>13</v>
      </c>
      <c r="D8" s="346" t="s">
        <v>220</v>
      </c>
      <c r="E8" s="347" t="s">
        <v>221</v>
      </c>
      <c r="F8" s="348" t="s">
        <v>222</v>
      </c>
      <c r="G8" s="307" t="s">
        <v>223</v>
      </c>
      <c r="H8" s="307" t="s">
        <v>85</v>
      </c>
      <c r="I8" s="73">
        <v>3</v>
      </c>
      <c r="J8" s="76">
        <v>13</v>
      </c>
      <c r="K8" s="79">
        <v>565</v>
      </c>
      <c r="L8" s="280"/>
      <c r="M8" s="265">
        <v>565</v>
      </c>
      <c r="N8" s="240">
        <f>K8-M8</f>
        <v>0</v>
      </c>
      <c r="O8" s="82" t="s">
        <v>16</v>
      </c>
      <c r="P8" s="351">
        <v>1475.8</v>
      </c>
      <c r="Q8" s="357">
        <v>0</v>
      </c>
      <c r="R8" s="349">
        <f>(M8+M9-10.3)/P8</f>
        <v>0.40140940506843753</v>
      </c>
      <c r="S8" s="355">
        <v>5</v>
      </c>
      <c r="T8" s="353" t="s">
        <v>339</v>
      </c>
      <c r="U8" s="317">
        <f>(M9+M8)*155000</f>
        <v>93418500</v>
      </c>
      <c r="V8" s="315">
        <v>0</v>
      </c>
      <c r="W8" s="319">
        <v>0</v>
      </c>
      <c r="X8" s="321">
        <f>(M8+M9)*155000*5</f>
        <v>467092500</v>
      </c>
      <c r="Y8" s="317">
        <f>' 1. Đỗ Văn Dân th13 + th12 t3'!J70</f>
        <v>14400000</v>
      </c>
      <c r="Z8" s="323">
        <f>602.7*3000</f>
        <v>1808100.0000000002</v>
      </c>
      <c r="AA8" s="325">
        <f>U8+X8+Y8+Z8</f>
        <v>576719100</v>
      </c>
      <c r="AB8" s="17" t="s">
        <v>177</v>
      </c>
      <c r="AC8" s="315"/>
    </row>
    <row r="9" spans="1:29" s="168" customFormat="1" ht="60.75" customHeight="1">
      <c r="A9" s="312"/>
      <c r="B9" s="313"/>
      <c r="C9" s="10"/>
      <c r="D9" s="346"/>
      <c r="E9" s="347"/>
      <c r="F9" s="348"/>
      <c r="G9" s="307"/>
      <c r="H9" s="307"/>
      <c r="I9" s="73">
        <v>3</v>
      </c>
      <c r="J9" s="76">
        <v>12</v>
      </c>
      <c r="K9" s="79">
        <v>400.8</v>
      </c>
      <c r="L9" s="280">
        <v>10.3</v>
      </c>
      <c r="M9" s="265">
        <f>48-10.3</f>
        <v>37.700000000000003</v>
      </c>
      <c r="N9" s="240">
        <f>K9-L9-M9</f>
        <v>352.8</v>
      </c>
      <c r="O9" s="82" t="s">
        <v>16</v>
      </c>
      <c r="P9" s="352"/>
      <c r="Q9" s="358"/>
      <c r="R9" s="350"/>
      <c r="S9" s="356"/>
      <c r="T9" s="354"/>
      <c r="U9" s="318"/>
      <c r="V9" s="316"/>
      <c r="W9" s="320"/>
      <c r="X9" s="322"/>
      <c r="Y9" s="318"/>
      <c r="Z9" s="324"/>
      <c r="AA9" s="326"/>
      <c r="AB9" s="17"/>
      <c r="AC9" s="316"/>
    </row>
    <row r="10" spans="1:29" s="168" customFormat="1" ht="60.75" customHeight="1">
      <c r="A10" s="9">
        <v>2</v>
      </c>
      <c r="B10" s="10" t="s">
        <v>214</v>
      </c>
      <c r="C10" s="10" t="s">
        <v>17</v>
      </c>
      <c r="D10" s="11" t="s">
        <v>224</v>
      </c>
      <c r="E10" s="154" t="s">
        <v>221</v>
      </c>
      <c r="F10" s="26" t="s">
        <v>226</v>
      </c>
      <c r="G10" s="30" t="s">
        <v>227</v>
      </c>
      <c r="H10" s="30" t="s">
        <v>228</v>
      </c>
      <c r="I10" s="73">
        <v>2</v>
      </c>
      <c r="J10" s="76">
        <v>16</v>
      </c>
      <c r="K10" s="79">
        <v>1041</v>
      </c>
      <c r="L10" s="264">
        <v>0</v>
      </c>
      <c r="M10" s="79">
        <v>198.9</v>
      </c>
      <c r="N10" s="240">
        <f t="shared" ref="N10" si="0">K10-M10</f>
        <v>842.1</v>
      </c>
      <c r="O10" s="82" t="s">
        <v>16</v>
      </c>
      <c r="P10" s="80">
        <v>2359</v>
      </c>
      <c r="Q10" s="246">
        <v>0</v>
      </c>
      <c r="R10" s="241">
        <f>M10/P10</f>
        <v>8.4315387876218742E-2</v>
      </c>
      <c r="S10" s="82">
        <v>5</v>
      </c>
      <c r="T10" s="17" t="s">
        <v>339</v>
      </c>
      <c r="U10" s="97">
        <f t="shared" ref="U10:U14" si="1">M10*155000</f>
        <v>30829500</v>
      </c>
      <c r="V10" s="102">
        <v>0</v>
      </c>
      <c r="W10" s="103">
        <v>0</v>
      </c>
      <c r="X10" s="97">
        <f t="shared" ref="X10:X15" si="2">M10*155000*5</f>
        <v>154147500</v>
      </c>
      <c r="Y10" s="278">
        <f>'2. Đỗ Văn Tĩnh'!J65</f>
        <v>2400000</v>
      </c>
      <c r="Z10" s="100">
        <f>IF(M10*3000&gt;3000000,3000000,IF(M10*3000&lt;=3000000,M10*3000))</f>
        <v>596700</v>
      </c>
      <c r="AA10" s="101">
        <f>U10+X10+Y10+Z10</f>
        <v>187973700</v>
      </c>
      <c r="AB10" s="17" t="s">
        <v>177</v>
      </c>
      <c r="AC10" s="102"/>
    </row>
    <row r="11" spans="1:29" s="168" customFormat="1" ht="60.75" customHeight="1">
      <c r="A11" s="9">
        <v>3</v>
      </c>
      <c r="B11" s="19" t="s">
        <v>215</v>
      </c>
      <c r="C11" s="19" t="s">
        <v>97</v>
      </c>
      <c r="D11" s="11" t="s">
        <v>229</v>
      </c>
      <c r="E11" s="154" t="s">
        <v>225</v>
      </c>
      <c r="F11" s="26" t="s">
        <v>230</v>
      </c>
      <c r="G11" s="30" t="s">
        <v>235</v>
      </c>
      <c r="H11" s="30" t="s">
        <v>236</v>
      </c>
      <c r="I11" s="73">
        <v>2</v>
      </c>
      <c r="J11" s="76">
        <v>7</v>
      </c>
      <c r="K11" s="79">
        <v>1176</v>
      </c>
      <c r="L11" s="264">
        <v>0</v>
      </c>
      <c r="M11" s="79">
        <v>251.2</v>
      </c>
      <c r="N11" s="240">
        <f t="shared" ref="N11:N15" si="3">K11-M11</f>
        <v>924.8</v>
      </c>
      <c r="O11" s="82" t="s">
        <v>16</v>
      </c>
      <c r="P11" s="80">
        <v>1417</v>
      </c>
      <c r="Q11" s="246">
        <v>0</v>
      </c>
      <c r="R11" s="241">
        <f t="shared" ref="R11:R15" si="4">M11/P11</f>
        <v>0.17727593507410019</v>
      </c>
      <c r="S11" s="82">
        <v>5</v>
      </c>
      <c r="T11" s="17" t="s">
        <v>339</v>
      </c>
      <c r="U11" s="97">
        <f t="shared" si="1"/>
        <v>38936000</v>
      </c>
      <c r="V11" s="102">
        <v>0</v>
      </c>
      <c r="W11" s="103">
        <v>0</v>
      </c>
      <c r="X11" s="97">
        <f t="shared" si="2"/>
        <v>194680000</v>
      </c>
      <c r="Y11" s="278">
        <f>'3. Đỗ Thị Chi'!J57</f>
        <v>4800000</v>
      </c>
      <c r="Z11" s="100">
        <f>IF(M11*3000&gt;3000000,3000000,IF(M11*3000&lt;=3000000,M11*3000))</f>
        <v>753600</v>
      </c>
      <c r="AA11" s="101">
        <f t="shared" ref="AA11:AA20" si="5">U11+X11+Y11+Z11</f>
        <v>239169600</v>
      </c>
      <c r="AB11" s="17" t="s">
        <v>177</v>
      </c>
      <c r="AC11" s="102"/>
    </row>
    <row r="12" spans="1:29" s="168" customFormat="1" ht="60.75" customHeight="1">
      <c r="A12" s="9">
        <v>4</v>
      </c>
      <c r="B12" s="10" t="s">
        <v>216</v>
      </c>
      <c r="C12" s="10" t="s">
        <v>20</v>
      </c>
      <c r="D12" s="11" t="s">
        <v>224</v>
      </c>
      <c r="E12" s="154" t="s">
        <v>221</v>
      </c>
      <c r="F12" s="26" t="s">
        <v>231</v>
      </c>
      <c r="G12" s="30" t="s">
        <v>237</v>
      </c>
      <c r="H12" s="30" t="s">
        <v>238</v>
      </c>
      <c r="I12" s="73">
        <v>2</v>
      </c>
      <c r="J12" s="76">
        <v>24</v>
      </c>
      <c r="K12" s="79">
        <v>508</v>
      </c>
      <c r="L12" s="264">
        <v>0</v>
      </c>
      <c r="M12" s="79">
        <v>403.7</v>
      </c>
      <c r="N12" s="240">
        <f t="shared" si="3"/>
        <v>104.30000000000001</v>
      </c>
      <c r="O12" s="82" t="s">
        <v>16</v>
      </c>
      <c r="P12" s="80">
        <v>2445</v>
      </c>
      <c r="Q12" s="246">
        <v>0</v>
      </c>
      <c r="R12" s="241">
        <f t="shared" si="4"/>
        <v>0.1651124744376278</v>
      </c>
      <c r="S12" s="82">
        <v>8</v>
      </c>
      <c r="T12" s="17" t="s">
        <v>339</v>
      </c>
      <c r="U12" s="97">
        <f t="shared" si="1"/>
        <v>62573500</v>
      </c>
      <c r="V12" s="102">
        <v>0</v>
      </c>
      <c r="W12" s="103">
        <v>0</v>
      </c>
      <c r="X12" s="97">
        <f t="shared" si="2"/>
        <v>312867500</v>
      </c>
      <c r="Y12" s="278">
        <f>'4. Lưu Tiến Tịnh'!J55</f>
        <v>7680000</v>
      </c>
      <c r="Z12" s="100">
        <f>IF(M12*3000&gt;3000000,3000000,IF(M12*3000&lt;=3000000,M12*3000))</f>
        <v>1211100</v>
      </c>
      <c r="AA12" s="101">
        <f t="shared" si="5"/>
        <v>384332100</v>
      </c>
      <c r="AB12" s="17" t="s">
        <v>177</v>
      </c>
      <c r="AC12" s="102"/>
    </row>
    <row r="13" spans="1:29" s="168" customFormat="1" ht="60.75" customHeight="1">
      <c r="A13" s="9">
        <v>5</v>
      </c>
      <c r="B13" s="10" t="s">
        <v>217</v>
      </c>
      <c r="C13" s="10" t="s">
        <v>21</v>
      </c>
      <c r="D13" s="11" t="s">
        <v>224</v>
      </c>
      <c r="E13" s="154" t="s">
        <v>221</v>
      </c>
      <c r="F13" s="26" t="s">
        <v>232</v>
      </c>
      <c r="G13" s="30" t="s">
        <v>239</v>
      </c>
      <c r="H13" s="30" t="s">
        <v>240</v>
      </c>
      <c r="I13" s="73">
        <v>2</v>
      </c>
      <c r="J13" s="76">
        <v>21</v>
      </c>
      <c r="K13" s="79">
        <v>551</v>
      </c>
      <c r="L13" s="264">
        <v>0</v>
      </c>
      <c r="M13" s="79">
        <v>396.1</v>
      </c>
      <c r="N13" s="240">
        <f t="shared" si="3"/>
        <v>154.89999999999998</v>
      </c>
      <c r="O13" s="82" t="s">
        <v>16</v>
      </c>
      <c r="P13" s="80">
        <v>2235</v>
      </c>
      <c r="Q13" s="246">
        <v>288</v>
      </c>
      <c r="R13" s="305">
        <f>M13/(P13-Q13)</f>
        <v>0.20344119157678481</v>
      </c>
      <c r="S13" s="82">
        <v>6</v>
      </c>
      <c r="T13" s="17" t="s">
        <v>339</v>
      </c>
      <c r="U13" s="97">
        <f t="shared" si="1"/>
        <v>61395500</v>
      </c>
      <c r="V13" s="102">
        <v>0</v>
      </c>
      <c r="W13" s="103">
        <v>0</v>
      </c>
      <c r="X13" s="97">
        <f t="shared" si="2"/>
        <v>306977500</v>
      </c>
      <c r="Y13" s="278">
        <f>'5. Lưu Thị Nụ'!J58</f>
        <v>8640000</v>
      </c>
      <c r="Z13" s="100">
        <f t="shared" ref="Z13:Z15" si="6">IF(M13*3000&gt;3000000,3000000,IF(M13*3000&lt;=3000000,M13*3000))</f>
        <v>1188300</v>
      </c>
      <c r="AA13" s="101">
        <f t="shared" si="5"/>
        <v>378201300</v>
      </c>
      <c r="AB13" s="17" t="s">
        <v>177</v>
      </c>
      <c r="AC13" s="102"/>
    </row>
    <row r="14" spans="1:29" s="168" customFormat="1" ht="60.75" customHeight="1">
      <c r="A14" s="9">
        <v>6</v>
      </c>
      <c r="B14" s="10" t="s">
        <v>218</v>
      </c>
      <c r="C14" s="10" t="s">
        <v>22</v>
      </c>
      <c r="D14" s="11" t="s">
        <v>224</v>
      </c>
      <c r="E14" s="154" t="s">
        <v>221</v>
      </c>
      <c r="F14" s="30" t="s">
        <v>233</v>
      </c>
      <c r="G14" s="30" t="s">
        <v>241</v>
      </c>
      <c r="H14" s="30" t="s">
        <v>77</v>
      </c>
      <c r="I14" s="73">
        <v>3</v>
      </c>
      <c r="J14" s="76">
        <v>7</v>
      </c>
      <c r="K14" s="79">
        <v>1174.5</v>
      </c>
      <c r="L14" s="264">
        <v>0</v>
      </c>
      <c r="M14" s="79">
        <v>494</v>
      </c>
      <c r="N14" s="240">
        <f t="shared" si="3"/>
        <v>680.5</v>
      </c>
      <c r="O14" s="82" t="s">
        <v>16</v>
      </c>
      <c r="P14" s="80">
        <v>2364</v>
      </c>
      <c r="Q14" s="246">
        <v>0</v>
      </c>
      <c r="R14" s="305">
        <f t="shared" si="4"/>
        <v>0.20896785109983079</v>
      </c>
      <c r="S14" s="82">
        <v>5</v>
      </c>
      <c r="T14" s="17" t="s">
        <v>339</v>
      </c>
      <c r="U14" s="97">
        <f t="shared" si="1"/>
        <v>76570000</v>
      </c>
      <c r="V14" s="102">
        <v>0</v>
      </c>
      <c r="W14" s="103">
        <v>0</v>
      </c>
      <c r="X14" s="97">
        <f t="shared" si="2"/>
        <v>382850000</v>
      </c>
      <c r="Y14" s="278">
        <f>'6. Nguyễn Văn Tùng'!J61</f>
        <v>7200000</v>
      </c>
      <c r="Z14" s="100">
        <f t="shared" si="6"/>
        <v>1482000</v>
      </c>
      <c r="AA14" s="101">
        <f t="shared" si="5"/>
        <v>468102000</v>
      </c>
      <c r="AB14" s="17" t="s">
        <v>177</v>
      </c>
      <c r="AC14" s="102"/>
    </row>
    <row r="15" spans="1:29" s="168" customFormat="1" ht="60.75" customHeight="1">
      <c r="A15" s="9">
        <v>7</v>
      </c>
      <c r="B15" s="10" t="s">
        <v>219</v>
      </c>
      <c r="C15" s="10" t="s">
        <v>23</v>
      </c>
      <c r="D15" s="11" t="s">
        <v>224</v>
      </c>
      <c r="E15" s="154" t="s">
        <v>221</v>
      </c>
      <c r="F15" s="26" t="s">
        <v>234</v>
      </c>
      <c r="G15" s="30" t="s">
        <v>237</v>
      </c>
      <c r="H15" s="30" t="s">
        <v>238</v>
      </c>
      <c r="I15" s="73">
        <v>3</v>
      </c>
      <c r="J15" s="76">
        <v>2</v>
      </c>
      <c r="K15" s="79">
        <v>882.2</v>
      </c>
      <c r="L15" s="264">
        <v>0</v>
      </c>
      <c r="M15" s="79">
        <v>345.8</v>
      </c>
      <c r="N15" s="240">
        <f t="shared" si="3"/>
        <v>536.40000000000009</v>
      </c>
      <c r="O15" s="82" t="s">
        <v>16</v>
      </c>
      <c r="P15" s="80">
        <v>1354</v>
      </c>
      <c r="Q15" s="246">
        <v>0</v>
      </c>
      <c r="R15" s="305">
        <f t="shared" si="4"/>
        <v>0.25539143279172821</v>
      </c>
      <c r="S15" s="82">
        <v>4</v>
      </c>
      <c r="T15" s="17" t="s">
        <v>339</v>
      </c>
      <c r="U15" s="97">
        <f t="shared" ref="U15" si="7">M15*155000</f>
        <v>53599000</v>
      </c>
      <c r="V15" s="102">
        <v>0</v>
      </c>
      <c r="W15" s="103">
        <v>0</v>
      </c>
      <c r="X15" s="97">
        <f t="shared" si="2"/>
        <v>267995000</v>
      </c>
      <c r="Y15" s="278">
        <f>'7.  Phùng Quốc Long'!J61</f>
        <v>5760000</v>
      </c>
      <c r="Z15" s="100">
        <f t="shared" si="6"/>
        <v>1037400</v>
      </c>
      <c r="AA15" s="101">
        <f t="shared" si="5"/>
        <v>328391400</v>
      </c>
      <c r="AB15" s="17" t="s">
        <v>177</v>
      </c>
      <c r="AC15" s="102"/>
    </row>
    <row r="16" spans="1:29" s="168" customFormat="1" ht="60.75" customHeight="1">
      <c r="A16" s="9">
        <v>8</v>
      </c>
      <c r="B16" s="10" t="s">
        <v>410</v>
      </c>
      <c r="C16" s="10" t="s">
        <v>23</v>
      </c>
      <c r="D16" s="11" t="s">
        <v>411</v>
      </c>
      <c r="E16" s="154" t="s">
        <v>412</v>
      </c>
      <c r="F16" s="26" t="s">
        <v>398</v>
      </c>
      <c r="G16" s="30" t="s">
        <v>413</v>
      </c>
      <c r="H16" s="30"/>
      <c r="I16" s="73">
        <v>1</v>
      </c>
      <c r="J16" s="76">
        <v>18</v>
      </c>
      <c r="K16" s="79">
        <v>1638.3</v>
      </c>
      <c r="L16" s="264">
        <v>0</v>
      </c>
      <c r="M16" s="79">
        <v>720.3</v>
      </c>
      <c r="N16" s="240">
        <f t="shared" ref="N16" si="8">K16-M16</f>
        <v>918</v>
      </c>
      <c r="O16" s="82" t="s">
        <v>16</v>
      </c>
      <c r="P16" s="283">
        <v>2084.6000000000004</v>
      </c>
      <c r="Q16" s="246">
        <v>39.700000000000003</v>
      </c>
      <c r="R16" s="304">
        <f t="shared" ref="R16" si="9">M16/P16</f>
        <v>0.34553391537944922</v>
      </c>
      <c r="S16" s="82">
        <v>10</v>
      </c>
      <c r="T16" s="291">
        <v>45388</v>
      </c>
      <c r="U16" s="97">
        <f t="shared" ref="U16" si="10">M16*155000</f>
        <v>111646500</v>
      </c>
      <c r="V16" s="102">
        <v>0</v>
      </c>
      <c r="W16" s="103">
        <v>0</v>
      </c>
      <c r="X16" s="97">
        <f t="shared" ref="X16" si="11">M16*155000*5</f>
        <v>558232500</v>
      </c>
      <c r="Y16" s="278">
        <f>'8. Nguyễn Ngọc Kính th18 t1'!J54</f>
        <v>28800000</v>
      </c>
      <c r="Z16" s="100">
        <f t="shared" ref="Z16" si="12">IF(M16*3000&gt;3000000,3000000,IF(M16*3000&lt;=3000000,M16*3000))</f>
        <v>2160900</v>
      </c>
      <c r="AA16" s="101">
        <f t="shared" si="5"/>
        <v>700839900</v>
      </c>
      <c r="AB16" s="17" t="s">
        <v>177</v>
      </c>
      <c r="AC16" s="102"/>
    </row>
    <row r="17" spans="1:31" s="168" customFormat="1" ht="93" customHeight="1">
      <c r="A17" s="9">
        <v>9</v>
      </c>
      <c r="B17" s="10" t="s">
        <v>472</v>
      </c>
      <c r="C17" s="11" t="s">
        <v>411</v>
      </c>
      <c r="D17" s="11" t="s">
        <v>411</v>
      </c>
      <c r="E17" s="154" t="s">
        <v>412</v>
      </c>
      <c r="I17" s="73">
        <v>3</v>
      </c>
      <c r="J17" s="76">
        <v>1</v>
      </c>
      <c r="K17" s="79">
        <v>93.6</v>
      </c>
      <c r="L17" s="264">
        <v>0</v>
      </c>
      <c r="M17" s="79">
        <v>25.1</v>
      </c>
      <c r="N17" s="240">
        <f>K17-M17</f>
        <v>68.5</v>
      </c>
      <c r="O17" s="82" t="s">
        <v>16</v>
      </c>
      <c r="P17" s="80">
        <v>2127.6</v>
      </c>
      <c r="Q17" s="246">
        <v>0</v>
      </c>
      <c r="R17" s="241">
        <f>M17/P17</f>
        <v>1.1797330325249109E-2</v>
      </c>
      <c r="S17" s="82">
        <v>7</v>
      </c>
      <c r="U17" s="97">
        <f>M17*155000</f>
        <v>3890500</v>
      </c>
      <c r="V17" s="102">
        <v>0</v>
      </c>
      <c r="W17" s="103">
        <v>0</v>
      </c>
      <c r="X17" s="97">
        <f>M17*155000*5</f>
        <v>19452500</v>
      </c>
      <c r="Y17" s="300">
        <v>3360000</v>
      </c>
      <c r="Z17" s="100">
        <f>IF(M17*3000&gt;3000000,3000000,IF(M17*3000&lt;=3000000,M17*3000))</f>
        <v>75300</v>
      </c>
      <c r="AA17" s="101">
        <f t="shared" si="5"/>
        <v>26778300</v>
      </c>
    </row>
    <row r="18" spans="1:31" s="168" customFormat="1" ht="93" customHeight="1">
      <c r="A18" s="9">
        <v>10</v>
      </c>
      <c r="B18" s="19" t="s">
        <v>473</v>
      </c>
      <c r="C18" s="11" t="s">
        <v>411</v>
      </c>
      <c r="D18" s="11" t="s">
        <v>411</v>
      </c>
      <c r="E18" s="154" t="s">
        <v>412</v>
      </c>
      <c r="I18" s="73">
        <v>3</v>
      </c>
      <c r="J18" s="76">
        <v>2</v>
      </c>
      <c r="K18" s="79">
        <v>144.5</v>
      </c>
      <c r="L18" s="264">
        <v>0</v>
      </c>
      <c r="M18" s="79">
        <v>16.399999999999999</v>
      </c>
      <c r="N18" s="240">
        <f>K18-M18</f>
        <v>128.1</v>
      </c>
      <c r="O18" s="82" t="s">
        <v>16</v>
      </c>
      <c r="P18" s="80">
        <v>1470</v>
      </c>
      <c r="Q18" s="246">
        <v>0</v>
      </c>
      <c r="R18" s="241">
        <f t="shared" ref="R18:R20" si="13">M18/P18</f>
        <v>1.1156462585034013E-2</v>
      </c>
      <c r="S18" s="82">
        <v>4</v>
      </c>
      <c r="U18" s="97">
        <f>M18*155000</f>
        <v>2542000</v>
      </c>
      <c r="V18" s="102">
        <v>0</v>
      </c>
      <c r="W18" s="103">
        <v>0</v>
      </c>
      <c r="X18" s="97">
        <f>M18*155000*5</f>
        <v>12710000</v>
      </c>
      <c r="Y18" s="300">
        <v>1920000</v>
      </c>
      <c r="Z18" s="100">
        <f>IF(M18*3000&gt;3000000,3000000,IF(M18*3000&lt;=3000000,M18*3000))</f>
        <v>49199.999999999993</v>
      </c>
      <c r="AA18" s="101">
        <f t="shared" si="5"/>
        <v>17221200</v>
      </c>
    </row>
    <row r="19" spans="1:31" s="168" customFormat="1" ht="93" customHeight="1">
      <c r="A19" s="9">
        <v>11</v>
      </c>
      <c r="B19" s="19" t="s">
        <v>474</v>
      </c>
      <c r="C19" s="11" t="s">
        <v>411</v>
      </c>
      <c r="D19" s="11" t="s">
        <v>411</v>
      </c>
      <c r="E19" s="154" t="s">
        <v>412</v>
      </c>
      <c r="I19" s="73">
        <v>3</v>
      </c>
      <c r="J19" s="76">
        <v>3</v>
      </c>
      <c r="K19" s="79">
        <v>137.6</v>
      </c>
      <c r="L19" s="264">
        <v>0</v>
      </c>
      <c r="M19" s="79">
        <v>8.8000000000000007</v>
      </c>
      <c r="N19" s="240">
        <f>K19-M19</f>
        <v>128.79999999999998</v>
      </c>
      <c r="O19" s="82" t="s">
        <v>16</v>
      </c>
      <c r="P19" s="80">
        <v>533.6</v>
      </c>
      <c r="Q19" s="246">
        <v>0</v>
      </c>
      <c r="R19" s="241">
        <f t="shared" si="13"/>
        <v>1.6491754122938532E-2</v>
      </c>
      <c r="S19" s="82">
        <v>6</v>
      </c>
      <c r="U19" s="97">
        <f>M19*155000</f>
        <v>1364000</v>
      </c>
      <c r="V19" s="102">
        <v>0</v>
      </c>
      <c r="W19" s="103">
        <v>0</v>
      </c>
      <c r="X19" s="97">
        <f>M19*155000*5</f>
        <v>6820000</v>
      </c>
      <c r="Y19" s="300">
        <v>2880000</v>
      </c>
      <c r="Z19" s="100">
        <f>IF(M19*3000&gt;3000000,3000000,IF(M19*3000&lt;=3000000,M19*3000))</f>
        <v>26400.000000000004</v>
      </c>
      <c r="AA19" s="101">
        <f t="shared" si="5"/>
        <v>11090400</v>
      </c>
    </row>
    <row r="20" spans="1:31" s="168" customFormat="1" ht="93" customHeight="1">
      <c r="A20" s="9">
        <v>12</v>
      </c>
      <c r="B20" s="10" t="s">
        <v>475</v>
      </c>
      <c r="C20" s="11" t="s">
        <v>411</v>
      </c>
      <c r="D20" s="11" t="s">
        <v>411</v>
      </c>
      <c r="E20" s="154" t="s">
        <v>412</v>
      </c>
      <c r="I20" s="73">
        <v>3</v>
      </c>
      <c r="J20" s="76">
        <v>4</v>
      </c>
      <c r="K20" s="79">
        <v>145.6</v>
      </c>
      <c r="L20" s="264">
        <v>0</v>
      </c>
      <c r="M20" s="79">
        <v>3.1</v>
      </c>
      <c r="N20" s="240">
        <f>K20-M20</f>
        <v>142.5</v>
      </c>
      <c r="O20" s="82" t="s">
        <v>16</v>
      </c>
      <c r="P20" s="80">
        <v>145.6</v>
      </c>
      <c r="Q20" s="246">
        <v>0</v>
      </c>
      <c r="R20" s="241">
        <f t="shared" si="13"/>
        <v>2.1291208791208792E-2</v>
      </c>
      <c r="S20" s="82">
        <v>6</v>
      </c>
      <c r="U20" s="97">
        <f>M20*155000</f>
        <v>480500</v>
      </c>
      <c r="V20" s="102">
        <v>0</v>
      </c>
      <c r="W20" s="103">
        <v>0</v>
      </c>
      <c r="X20" s="97">
        <f>M20*155000*5</f>
        <v>2402500</v>
      </c>
      <c r="Y20" s="300">
        <v>2880000</v>
      </c>
      <c r="Z20" s="100">
        <f>IF(M20*3000&gt;3000000,3000000,IF(M20*3000&lt;=3000000,M20*3000))</f>
        <v>9300</v>
      </c>
      <c r="AA20" s="101">
        <f t="shared" si="5"/>
        <v>5772300</v>
      </c>
    </row>
    <row r="21" spans="1:31" ht="45.75" customHeight="1">
      <c r="A21" s="314" t="s">
        <v>41</v>
      </c>
      <c r="B21" s="314"/>
      <c r="C21" s="25"/>
      <c r="D21" s="8"/>
      <c r="E21" s="8"/>
      <c r="F21" s="21"/>
      <c r="G21" s="31"/>
      <c r="H21" s="31"/>
      <c r="I21" s="21"/>
      <c r="J21" s="21"/>
      <c r="K21" s="22">
        <f>SUM(K8:K20)</f>
        <v>8458.1</v>
      </c>
      <c r="L21" s="22">
        <f>SUM(L8:L20)</f>
        <v>10.3</v>
      </c>
      <c r="M21" s="22">
        <f>SUM(M8:M20)</f>
        <v>3466.1</v>
      </c>
      <c r="N21" s="22">
        <f>SUM(N8:N20)</f>
        <v>4981.7000000000007</v>
      </c>
      <c r="O21" s="21"/>
      <c r="P21" s="90"/>
      <c r="Q21" s="90"/>
      <c r="R21" s="257"/>
      <c r="S21" s="21"/>
      <c r="T21" s="8"/>
      <c r="U21" s="104">
        <f t="shared" ref="U21:AA21" si="14">SUM(U8:U20)</f>
        <v>537245500</v>
      </c>
      <c r="V21" s="254">
        <f t="shared" si="14"/>
        <v>0</v>
      </c>
      <c r="W21" s="254">
        <f t="shared" si="14"/>
        <v>0</v>
      </c>
      <c r="X21" s="104">
        <f t="shared" si="14"/>
        <v>2686227500</v>
      </c>
      <c r="Y21" s="104">
        <f t="shared" si="14"/>
        <v>90720000</v>
      </c>
      <c r="Z21" s="104">
        <f t="shared" si="14"/>
        <v>10398300</v>
      </c>
      <c r="AA21" s="104">
        <f t="shared" si="14"/>
        <v>3324591300</v>
      </c>
      <c r="AB21" s="8"/>
      <c r="AC21" s="8"/>
      <c r="AD21" s="262">
        <f>' 1. Đỗ Văn Dân th13 + th12 t3'!G73+'2. Đỗ Văn Tĩnh'!G68+'3. Đỗ Thị Chi'!G60+'4. Lưu Tiến Tịnh'!G58+'5. Lưu Thị Nụ'!G61+'6. Nguyễn Văn Tùng'!G64+'7.  Phùng Quốc Long'!G64+'8. Nguyễn Ngọc Kính th18 t1'!G57+'9. Ngô Văn Lẫm'!G60+'10. Ngô Văn Tuấn'!G58+'11. Nguyễn Văn Năm'!G58+'12. Ngô Thị Hà'!G59</f>
        <v>3324591300</v>
      </c>
      <c r="AE21" s="172"/>
    </row>
    <row r="22" spans="1:31" ht="13.5" customHeight="1">
      <c r="A22" s="160"/>
      <c r="B22" s="160"/>
      <c r="C22" s="160"/>
      <c r="D22" s="161"/>
      <c r="E22" s="161"/>
      <c r="F22" s="2"/>
      <c r="G22" s="29"/>
      <c r="H22" s="29"/>
      <c r="I22" s="2"/>
      <c r="J22" s="2"/>
      <c r="K22" s="162"/>
      <c r="L22" s="162"/>
      <c r="M22" s="162"/>
      <c r="N22" s="191"/>
      <c r="O22" s="2"/>
      <c r="P22" s="163"/>
      <c r="Q22" s="163"/>
      <c r="R22" s="258"/>
      <c r="S22" s="2"/>
      <c r="T22" s="161"/>
      <c r="U22" s="164"/>
      <c r="V22" s="164"/>
      <c r="W22" s="164"/>
      <c r="X22" s="164"/>
      <c r="Y22" s="249"/>
      <c r="Z22" s="164"/>
      <c r="AA22" s="164"/>
      <c r="AB22" s="161"/>
      <c r="AC22" s="161"/>
      <c r="AD22" s="171"/>
      <c r="AE22" s="172"/>
    </row>
    <row r="23" spans="1:31" ht="19.5">
      <c r="A23" s="160"/>
      <c r="B23" s="279" t="s">
        <v>376</v>
      </c>
      <c r="C23" s="160"/>
      <c r="D23" s="161"/>
      <c r="E23" s="161"/>
      <c r="F23" s="2"/>
      <c r="G23" s="29"/>
      <c r="H23" s="29"/>
      <c r="I23" s="2"/>
      <c r="J23" s="2"/>
      <c r="K23" s="162"/>
      <c r="L23" s="162"/>
      <c r="M23" s="162"/>
      <c r="N23" s="191"/>
      <c r="O23" s="2"/>
      <c r="P23" s="163"/>
      <c r="Q23" s="163"/>
      <c r="R23" s="258"/>
      <c r="S23" s="2"/>
      <c r="T23" s="161"/>
      <c r="U23" s="164"/>
      <c r="V23" s="164"/>
      <c r="W23" s="164"/>
      <c r="X23" s="164"/>
      <c r="Y23" s="249"/>
      <c r="Z23" s="164"/>
      <c r="AA23" s="164"/>
      <c r="AB23" s="161"/>
      <c r="AC23" s="161"/>
      <c r="AD23" s="171"/>
      <c r="AE23" s="172"/>
    </row>
    <row r="24" spans="1:31" s="173" customFormat="1" ht="26.25" customHeight="1">
      <c r="B24" s="306" t="s">
        <v>191</v>
      </c>
      <c r="C24" s="306"/>
      <c r="D24" s="306"/>
      <c r="E24" s="306"/>
      <c r="F24" s="306"/>
      <c r="G24" s="306"/>
      <c r="H24" s="306"/>
      <c r="I24" s="306"/>
      <c r="J24" s="306"/>
      <c r="K24" s="306"/>
      <c r="L24" s="310">
        <f>AA21</f>
        <v>3324591300</v>
      </c>
      <c r="M24" s="310"/>
      <c r="N24" s="192" t="s">
        <v>195</v>
      </c>
      <c r="R24" s="259"/>
      <c r="T24" s="175"/>
      <c r="V24" s="176"/>
      <c r="W24" s="177"/>
      <c r="Y24" s="247"/>
      <c r="Z24" s="177"/>
    </row>
    <row r="25" spans="1:31" s="173" customFormat="1" ht="26.25" customHeight="1">
      <c r="B25" s="306" t="s">
        <v>193</v>
      </c>
      <c r="C25" s="306"/>
      <c r="D25" s="306"/>
      <c r="E25" s="306"/>
      <c r="F25" s="306"/>
      <c r="G25" s="306"/>
      <c r="H25" s="306"/>
      <c r="I25" s="306"/>
      <c r="J25" s="306"/>
      <c r="K25" s="306"/>
      <c r="L25" s="310">
        <f>L24*2%</f>
        <v>66491826</v>
      </c>
      <c r="M25" s="310"/>
      <c r="N25" s="192" t="s">
        <v>195</v>
      </c>
      <c r="R25" s="259"/>
      <c r="U25" s="251"/>
      <c r="V25" s="178"/>
      <c r="W25" s="177"/>
      <c r="X25" s="301"/>
      <c r="Y25" s="247"/>
      <c r="Z25" s="177"/>
      <c r="AE25" s="262">
        <f>SUM(' 1. Đỗ Văn Dân th13 + th12 t3'!G73:H73)+SUM('2. Đỗ Văn Tĩnh'!G68:H68)+SUM('3. Đỗ Thị Chi'!G60:H60)+SUM('4. Lưu Tiến Tịnh'!G58:H58)+SUM('5. Lưu Thị Nụ'!G61:H61)+SUM('6. Nguyễn Văn Tùng'!G64:H64)+SUM('7.  Phùng Quốc Long'!G64:H64)</f>
        <v>2562889200</v>
      </c>
    </row>
    <row r="26" spans="1:31" s="173" customFormat="1" ht="26.25" customHeight="1">
      <c r="B26" s="306" t="s">
        <v>194</v>
      </c>
      <c r="C26" s="306"/>
      <c r="D26" s="306"/>
      <c r="E26" s="306"/>
      <c r="F26" s="306"/>
      <c r="G26" s="306"/>
      <c r="H26" s="306"/>
      <c r="I26" s="306"/>
      <c r="J26" s="306"/>
      <c r="K26" s="306"/>
      <c r="L26" s="310">
        <f>L24+L25</f>
        <v>3391083126</v>
      </c>
      <c r="M26" s="310"/>
      <c r="N26" s="192" t="s">
        <v>195</v>
      </c>
      <c r="P26" s="255"/>
      <c r="R26" s="259"/>
      <c r="W26" s="177"/>
      <c r="X26" s="301"/>
      <c r="Y26" s="247"/>
      <c r="Z26" s="302"/>
    </row>
    <row r="27" spans="1:31" s="173" customFormat="1" ht="26.25" customHeight="1">
      <c r="B27" s="277" t="s">
        <v>375</v>
      </c>
      <c r="C27" s="263"/>
      <c r="D27" s="345" t="str">
        <f>[1]!VND(L26)</f>
        <v>Ba tỷ, ba trăm chín mươi mốt triệu, không trăm tám mươi ba nghìn, một trăm hai mươi sáu đồng chẵn.</v>
      </c>
      <c r="E27" s="345"/>
      <c r="F27" s="345"/>
      <c r="G27" s="345"/>
      <c r="H27" s="345"/>
      <c r="I27" s="345"/>
      <c r="J27" s="345"/>
      <c r="K27" s="345"/>
      <c r="L27" s="345"/>
      <c r="M27" s="345"/>
      <c r="N27" s="345"/>
      <c r="O27" s="345"/>
      <c r="P27" s="345"/>
      <c r="Q27" s="345"/>
      <c r="R27" s="345"/>
      <c r="S27" s="345"/>
      <c r="T27" s="345"/>
      <c r="U27" s="345"/>
      <c r="V27" s="263"/>
      <c r="W27" s="263"/>
      <c r="X27" s="303"/>
      <c r="Y27" s="263"/>
      <c r="Z27" s="263"/>
      <c r="AA27" s="263"/>
      <c r="AB27" s="263"/>
      <c r="AC27" s="263"/>
    </row>
    <row r="28" spans="1:31">
      <c r="V28" s="179"/>
    </row>
  </sheetData>
  <mergeCells count="56">
    <mergeCell ref="Z6:Z7"/>
    <mergeCell ref="AA6:AA7"/>
    <mergeCell ref="AB6:AB7"/>
    <mergeCell ref="AC6:AC7"/>
    <mergeCell ref="D27:U27"/>
    <mergeCell ref="H8:H9"/>
    <mergeCell ref="D8:D9"/>
    <mergeCell ref="E8:E9"/>
    <mergeCell ref="F8:F9"/>
    <mergeCell ref="R8:R9"/>
    <mergeCell ref="P8:P9"/>
    <mergeCell ref="T8:T9"/>
    <mergeCell ref="S8:S9"/>
    <mergeCell ref="Q8:Q9"/>
    <mergeCell ref="L26:M26"/>
    <mergeCell ref="B24:K24"/>
    <mergeCell ref="Q6:Q7"/>
    <mergeCell ref="T6:T7"/>
    <mergeCell ref="H6:H7"/>
    <mergeCell ref="I6:O6"/>
    <mergeCell ref="P6:P7"/>
    <mergeCell ref="R6:R7"/>
    <mergeCell ref="S6:S7"/>
    <mergeCell ref="W6:W7"/>
    <mergeCell ref="X6:X7"/>
    <mergeCell ref="Y6:Y7"/>
    <mergeCell ref="G6:G7"/>
    <mergeCell ref="B1:D1"/>
    <mergeCell ref="J1:AC1"/>
    <mergeCell ref="A2:AC2"/>
    <mergeCell ref="A3:AC3"/>
    <mergeCell ref="A4:AC4"/>
    <mergeCell ref="U6:U7"/>
    <mergeCell ref="V6:V7"/>
    <mergeCell ref="B6:B7"/>
    <mergeCell ref="C6:C7"/>
    <mergeCell ref="D6:D7"/>
    <mergeCell ref="E6:E7"/>
    <mergeCell ref="F6:F7"/>
    <mergeCell ref="AC8:AC9"/>
    <mergeCell ref="U8:U9"/>
    <mergeCell ref="V8:V9"/>
    <mergeCell ref="W8:W9"/>
    <mergeCell ref="X8:X9"/>
    <mergeCell ref="Y8:Y9"/>
    <mergeCell ref="Z8:Z9"/>
    <mergeCell ref="AA8:AA9"/>
    <mergeCell ref="B25:K25"/>
    <mergeCell ref="B26:K26"/>
    <mergeCell ref="G8:G9"/>
    <mergeCell ref="A6:A7"/>
    <mergeCell ref="L24:M24"/>
    <mergeCell ref="L25:M25"/>
    <mergeCell ref="A8:A9"/>
    <mergeCell ref="B8:B9"/>
    <mergeCell ref="A21:B21"/>
  </mergeCells>
  <pageMargins left="0.35" right="7.874015748031496E-2" top="0.32" bottom="0.15748031496062992" header="0.19685039370078741" footer="0.15748031496062992"/>
  <pageSetup paperSize="9" scale="5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view="pageBreakPreview" zoomScale="85" zoomScaleNormal="100" zoomScaleSheetLayoutView="85" workbookViewId="0">
      <selection activeCell="A12" sqref="A12:K12"/>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60" customWidth="1"/>
    <col min="7" max="7" width="9.75" style="203" customWidth="1"/>
    <col min="8" max="8" width="13.375" style="221" bestFit="1" customWidth="1"/>
    <col min="9" max="9" width="9.375" style="49" customWidth="1"/>
    <col min="10" max="10" width="17.625" style="60" customWidth="1"/>
    <col min="11" max="11" width="12.625" style="49" customWidth="1"/>
    <col min="12" max="12" width="8.125" style="49" hidden="1" customWidth="1"/>
    <col min="13" max="13" width="15.375" style="49" hidden="1" customWidth="1"/>
    <col min="14" max="14" width="9.75" style="49" hidden="1" customWidth="1"/>
    <col min="15" max="15" width="0" style="49" hidden="1"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46"/>
      <c r="G3" s="46"/>
      <c r="H3" s="207"/>
      <c r="I3" s="46"/>
      <c r="J3" s="46"/>
      <c r="K3" s="46"/>
    </row>
    <row r="4" spans="1:26" ht="16.5" customHeight="1">
      <c r="A4" s="420" t="s">
        <v>299</v>
      </c>
      <c r="B4" s="420"/>
      <c r="C4" s="420"/>
      <c r="D4" s="420"/>
      <c r="E4" s="107"/>
      <c r="F4" s="108"/>
      <c r="G4" s="198"/>
      <c r="H4" s="421"/>
      <c r="I4" s="421"/>
      <c r="J4" s="421"/>
      <c r="K4" s="421"/>
      <c r="L4" s="109"/>
      <c r="M4" s="109"/>
      <c r="N4" s="109"/>
      <c r="O4" s="109"/>
      <c r="P4" s="109"/>
      <c r="Q4" s="109"/>
      <c r="R4" s="109"/>
      <c r="S4" s="109"/>
      <c r="T4" s="107"/>
      <c r="U4" s="107"/>
      <c r="V4" s="107"/>
      <c r="W4" s="107"/>
      <c r="X4" s="107"/>
      <c r="Y4" s="107"/>
      <c r="Z4" s="110"/>
    </row>
    <row r="5" spans="1:26">
      <c r="A5" s="423"/>
      <c r="B5" s="423"/>
      <c r="C5" s="423"/>
      <c r="D5" s="423"/>
      <c r="E5" s="107"/>
      <c r="F5" s="108"/>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243</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94"/>
      <c r="G9" s="94"/>
      <c r="H9" s="209"/>
      <c r="I9" s="94"/>
      <c r="J9" s="94"/>
      <c r="K9" s="94"/>
    </row>
    <row r="10" spans="1:26">
      <c r="A10" s="424" t="s">
        <v>118</v>
      </c>
      <c r="B10" s="424"/>
      <c r="C10" s="424"/>
      <c r="D10" s="424"/>
      <c r="E10" s="424"/>
      <c r="F10" s="424"/>
      <c r="G10" s="424"/>
      <c r="H10" s="424"/>
      <c r="I10" s="424"/>
      <c r="J10" s="424"/>
      <c r="K10" s="424"/>
    </row>
    <row r="11" spans="1:26" ht="77.25" customHeight="1">
      <c r="A11" s="425" t="s">
        <v>364</v>
      </c>
      <c r="B11" s="411"/>
      <c r="C11" s="411"/>
      <c r="D11" s="411"/>
      <c r="E11" s="411"/>
      <c r="F11" s="411"/>
      <c r="G11" s="411"/>
      <c r="H11" s="411"/>
      <c r="I11" s="411"/>
      <c r="J11" s="411"/>
      <c r="K11" s="411"/>
    </row>
    <row r="12" spans="1:26" ht="96.75" customHeight="1">
      <c r="A12" s="411" t="s">
        <v>363</v>
      </c>
      <c r="B12" s="411"/>
      <c r="C12" s="411"/>
      <c r="D12" s="411"/>
      <c r="E12" s="411"/>
      <c r="F12" s="411"/>
      <c r="G12" s="411"/>
      <c r="H12" s="411"/>
      <c r="I12" s="411"/>
      <c r="J12" s="411"/>
      <c r="K12" s="411"/>
    </row>
    <row r="13" spans="1:26" ht="96.75" customHeight="1">
      <c r="A13" s="411" t="s">
        <v>362</v>
      </c>
      <c r="B13" s="411"/>
      <c r="C13" s="411"/>
      <c r="D13" s="411"/>
      <c r="E13" s="411"/>
      <c r="F13" s="411"/>
      <c r="G13" s="411"/>
      <c r="H13" s="411"/>
      <c r="I13" s="411"/>
      <c r="J13" s="411"/>
      <c r="K13" s="411"/>
    </row>
    <row r="14" spans="1:26" ht="57.75" customHeight="1">
      <c r="A14" s="433" t="s">
        <v>478</v>
      </c>
      <c r="B14" s="434"/>
      <c r="C14" s="434"/>
      <c r="D14" s="434"/>
      <c r="E14" s="434"/>
      <c r="F14" s="434"/>
      <c r="G14" s="434"/>
      <c r="H14" s="434"/>
      <c r="I14" s="434"/>
      <c r="J14" s="434"/>
      <c r="K14" s="434"/>
    </row>
    <row r="15" spans="1:26" ht="60" customHeight="1">
      <c r="A15" s="411" t="s">
        <v>361</v>
      </c>
      <c r="B15" s="411"/>
      <c r="C15" s="411"/>
      <c r="D15" s="411"/>
      <c r="E15" s="411"/>
      <c r="F15" s="411"/>
      <c r="G15" s="411"/>
      <c r="H15" s="411"/>
      <c r="I15" s="411"/>
      <c r="J15" s="411"/>
      <c r="K15" s="411"/>
    </row>
    <row r="16" spans="1:26" ht="39" customHeight="1">
      <c r="A16" s="411" t="s">
        <v>360</v>
      </c>
      <c r="B16" s="411"/>
      <c r="C16" s="411"/>
      <c r="D16" s="411"/>
      <c r="E16" s="411"/>
      <c r="F16" s="411"/>
      <c r="G16" s="411"/>
      <c r="H16" s="411"/>
      <c r="I16" s="411"/>
      <c r="J16" s="411"/>
      <c r="K16" s="411"/>
    </row>
    <row r="17" spans="1:16" ht="39" customHeight="1">
      <c r="A17" s="411" t="s">
        <v>365</v>
      </c>
      <c r="B17" s="411"/>
      <c r="C17" s="411"/>
      <c r="D17" s="411"/>
      <c r="E17" s="411"/>
      <c r="F17" s="411"/>
      <c r="G17" s="411"/>
      <c r="H17" s="411"/>
      <c r="I17" s="411"/>
      <c r="J17" s="411"/>
      <c r="K17" s="411"/>
    </row>
    <row r="18" spans="1:16" ht="96" customHeight="1">
      <c r="A18" s="411" t="s">
        <v>380</v>
      </c>
      <c r="B18" s="411"/>
      <c r="C18" s="411"/>
      <c r="D18" s="411"/>
      <c r="E18" s="411"/>
      <c r="F18" s="411"/>
      <c r="G18" s="411"/>
      <c r="H18" s="411"/>
      <c r="I18" s="411"/>
      <c r="J18" s="411"/>
      <c r="K18" s="411"/>
    </row>
    <row r="19" spans="1:16">
      <c r="A19" s="414" t="s">
        <v>205</v>
      </c>
      <c r="B19" s="414"/>
      <c r="C19" s="414"/>
      <c r="D19" s="414"/>
      <c r="E19" s="414"/>
      <c r="F19" s="414"/>
      <c r="G19" s="414"/>
      <c r="H19" s="414"/>
      <c r="I19" s="48"/>
      <c r="J19" s="48"/>
      <c r="K19" s="48"/>
    </row>
    <row r="20" spans="1:16" ht="24" customHeight="1">
      <c r="A20" s="414" t="s">
        <v>322</v>
      </c>
      <c r="B20" s="414"/>
      <c r="C20" s="414"/>
      <c r="D20" s="414"/>
      <c r="E20" s="414"/>
      <c r="F20" s="414"/>
      <c r="G20" s="414"/>
      <c r="H20" s="414"/>
      <c r="I20" s="414"/>
      <c r="J20" s="414"/>
      <c r="K20" s="414"/>
    </row>
    <row r="21" spans="1:16" ht="24" customHeight="1">
      <c r="A21" s="414" t="s">
        <v>323</v>
      </c>
      <c r="B21" s="414"/>
      <c r="C21" s="414"/>
      <c r="D21" s="414"/>
      <c r="E21" s="414"/>
      <c r="F21" s="414"/>
      <c r="G21" s="414"/>
      <c r="H21" s="414"/>
      <c r="I21" s="414"/>
      <c r="J21" s="414"/>
      <c r="K21" s="414"/>
    </row>
    <row r="22" spans="1:16" ht="24" customHeight="1">
      <c r="A22" s="395" t="s">
        <v>312</v>
      </c>
      <c r="B22" s="395"/>
      <c r="C22" s="395"/>
      <c r="D22" s="395"/>
      <c r="E22" s="395"/>
      <c r="F22" s="395" t="s">
        <v>313</v>
      </c>
      <c r="G22" s="395"/>
      <c r="H22" s="395"/>
      <c r="I22" s="50"/>
      <c r="J22" s="50"/>
      <c r="K22" s="50"/>
    </row>
    <row r="23" spans="1:16" ht="24" customHeight="1">
      <c r="A23" s="395" t="s">
        <v>302</v>
      </c>
      <c r="B23" s="395"/>
      <c r="C23" s="395"/>
      <c r="D23" s="395"/>
      <c r="E23" s="395"/>
      <c r="F23" s="395"/>
      <c r="G23" s="395"/>
      <c r="H23" s="422" t="s">
        <v>119</v>
      </c>
      <c r="I23" s="422"/>
      <c r="J23" s="112" t="s">
        <v>234</v>
      </c>
      <c r="K23" s="50"/>
    </row>
    <row r="24" spans="1:16" ht="24" customHeight="1">
      <c r="A24" s="395" t="s">
        <v>303</v>
      </c>
      <c r="B24" s="395"/>
      <c r="C24" s="395"/>
      <c r="D24" s="395"/>
      <c r="E24" s="395"/>
      <c r="F24" s="395"/>
      <c r="G24" s="395"/>
      <c r="H24" s="395"/>
      <c r="I24" s="395"/>
      <c r="J24" s="395"/>
      <c r="K24" s="395"/>
    </row>
    <row r="25" spans="1:16" ht="24" customHeight="1">
      <c r="A25" s="395" t="s">
        <v>120</v>
      </c>
      <c r="B25" s="395"/>
      <c r="C25" s="395"/>
      <c r="D25" s="395"/>
      <c r="E25" s="395"/>
      <c r="F25" s="395"/>
      <c r="G25" s="395"/>
      <c r="H25" s="210">
        <v>4</v>
      </c>
      <c r="I25" s="395" t="s">
        <v>121</v>
      </c>
      <c r="J25" s="395"/>
      <c r="K25" s="50"/>
      <c r="L25" s="48"/>
      <c r="M25" s="48"/>
      <c r="O25" s="48"/>
      <c r="P25" s="48"/>
    </row>
    <row r="26" spans="1:16">
      <c r="A26" s="414" t="s">
        <v>122</v>
      </c>
      <c r="B26" s="414"/>
      <c r="C26" s="414"/>
      <c r="D26" s="414"/>
      <c r="E26" s="414"/>
      <c r="F26" s="414"/>
      <c r="G26" s="199"/>
      <c r="H26" s="211"/>
      <c r="I26" s="51"/>
      <c r="J26" s="51"/>
      <c r="K26" s="51"/>
    </row>
    <row r="27" spans="1:16" ht="38.25" customHeight="1">
      <c r="A27" s="394" t="s">
        <v>353</v>
      </c>
      <c r="B27" s="394"/>
      <c r="C27" s="394"/>
      <c r="D27" s="394"/>
      <c r="E27" s="394"/>
      <c r="F27" s="394"/>
      <c r="G27" s="394"/>
      <c r="H27" s="394"/>
      <c r="I27" s="394"/>
      <c r="J27" s="394"/>
      <c r="K27" s="394"/>
    </row>
    <row r="28" spans="1:16" s="115" customFormat="1" ht="31.5" customHeight="1">
      <c r="A28" s="426" t="s">
        <v>123</v>
      </c>
      <c r="B28" s="426"/>
      <c r="C28" s="426"/>
      <c r="D28" s="426"/>
      <c r="E28" s="426"/>
      <c r="F28" s="113">
        <v>1354</v>
      </c>
      <c r="G28" s="200" t="s">
        <v>179</v>
      </c>
      <c r="H28" s="212"/>
      <c r="I28" s="114"/>
      <c r="J28" s="114"/>
      <c r="K28" s="114"/>
    </row>
    <row r="29" spans="1:16" ht="22.5">
      <c r="A29" s="395" t="s">
        <v>124</v>
      </c>
      <c r="B29" s="395"/>
      <c r="C29" s="395"/>
      <c r="D29" s="395"/>
      <c r="E29" s="395"/>
      <c r="F29" s="116">
        <v>1354</v>
      </c>
      <c r="G29" s="190" t="s">
        <v>180</v>
      </c>
      <c r="H29" s="396" t="s">
        <v>125</v>
      </c>
      <c r="I29" s="396"/>
      <c r="J29" s="50"/>
      <c r="K29" s="50"/>
    </row>
    <row r="30" spans="1:16" s="120" customFormat="1" ht="40.5" customHeight="1">
      <c r="A30" s="117"/>
      <c r="B30" s="399" t="s">
        <v>126</v>
      </c>
      <c r="C30" s="399"/>
      <c r="D30" s="399"/>
      <c r="E30" s="118"/>
      <c r="F30" s="119">
        <v>345.8</v>
      </c>
      <c r="G30" s="190" t="s">
        <v>181</v>
      </c>
      <c r="H30" s="397" t="str">
        <f>"(Chiếm "&amp;N64&amp;"% Tổng diện tích đất nông nghiệp được giao đang sử dụng)"</f>
        <v>(Chiếm 25,54% Tổng diện tích đất nông nghiệp được giao đang sử dụng)</v>
      </c>
      <c r="I30" s="397"/>
      <c r="J30" s="397"/>
      <c r="K30" s="397"/>
    </row>
    <row r="31" spans="1:16" s="120" customFormat="1" ht="22.5">
      <c r="A31" s="117"/>
      <c r="B31" s="399" t="s">
        <v>127</v>
      </c>
      <c r="C31" s="399"/>
      <c r="D31" s="399"/>
      <c r="E31" s="121"/>
      <c r="F31" s="119">
        <f>F29-F30</f>
        <v>1008.2</v>
      </c>
      <c r="G31" s="190" t="s">
        <v>181</v>
      </c>
      <c r="H31" s="213"/>
      <c r="I31" s="122"/>
      <c r="J31" s="122"/>
      <c r="K31" s="122"/>
    </row>
    <row r="32" spans="1:16" ht="131.25" customHeight="1">
      <c r="A32" s="437" t="s">
        <v>481</v>
      </c>
      <c r="B32" s="437"/>
      <c r="C32" s="437"/>
      <c r="D32" s="437"/>
      <c r="E32" s="437"/>
      <c r="F32" s="437"/>
      <c r="G32" s="437"/>
      <c r="H32" s="437"/>
      <c r="I32" s="437"/>
      <c r="J32" s="437"/>
      <c r="K32" s="437"/>
    </row>
    <row r="33" spans="1:11" ht="69" customHeight="1">
      <c r="A33" s="437" t="s">
        <v>482</v>
      </c>
      <c r="B33" s="437"/>
      <c r="C33" s="437"/>
      <c r="D33" s="437"/>
      <c r="E33" s="437"/>
      <c r="F33" s="437"/>
      <c r="G33" s="437"/>
      <c r="H33" s="437"/>
      <c r="I33" s="437"/>
      <c r="J33" s="437"/>
      <c r="K33" s="437"/>
    </row>
    <row r="34" spans="1:11" ht="21.75" customHeight="1">
      <c r="A34" s="414" t="s">
        <v>206</v>
      </c>
      <c r="B34" s="414"/>
      <c r="C34" s="414"/>
      <c r="D34" s="414"/>
      <c r="E34" s="414"/>
      <c r="F34" s="414"/>
      <c r="G34" s="414"/>
      <c r="H34" s="414"/>
      <c r="I34" s="414"/>
      <c r="J34" s="414"/>
      <c r="K34" s="414"/>
    </row>
    <row r="35" spans="1:11" s="48" customFormat="1">
      <c r="A35" s="427" t="s">
        <v>128</v>
      </c>
      <c r="B35" s="427"/>
      <c r="C35" s="427"/>
      <c r="D35" s="427"/>
      <c r="E35" s="52"/>
      <c r="F35" s="53"/>
      <c r="G35" s="201"/>
      <c r="H35" s="214"/>
      <c r="I35" s="52"/>
      <c r="J35" s="53"/>
      <c r="K35" s="52"/>
    </row>
    <row r="36" spans="1:11" s="47" customFormat="1" ht="65.25" customHeight="1">
      <c r="A36" s="95" t="s">
        <v>129</v>
      </c>
      <c r="B36" s="403" t="s">
        <v>12</v>
      </c>
      <c r="C36" s="428"/>
      <c r="D36" s="95" t="s">
        <v>130</v>
      </c>
      <c r="E36" s="95" t="s">
        <v>131</v>
      </c>
      <c r="F36" s="429" t="s">
        <v>477</v>
      </c>
      <c r="G36" s="430"/>
      <c r="H36" s="215" t="s">
        <v>132</v>
      </c>
      <c r="I36" s="95" t="s">
        <v>133</v>
      </c>
      <c r="J36" s="96" t="s">
        <v>134</v>
      </c>
      <c r="K36" s="95" t="s">
        <v>6</v>
      </c>
    </row>
    <row r="37" spans="1:11" s="52" customFormat="1" ht="33" customHeight="1">
      <c r="A37" s="70">
        <v>1</v>
      </c>
      <c r="B37" s="431" t="s">
        <v>352</v>
      </c>
      <c r="C37" s="432"/>
      <c r="D37" s="65" t="s">
        <v>182</v>
      </c>
      <c r="E37" s="123">
        <f>F30</f>
        <v>345.8</v>
      </c>
      <c r="F37" s="392">
        <v>155000</v>
      </c>
      <c r="G37" s="393"/>
      <c r="H37" s="216"/>
      <c r="I37" s="67">
        <v>1</v>
      </c>
      <c r="J37" s="71">
        <f>E37*F37*I37</f>
        <v>53599000</v>
      </c>
      <c r="K37" s="70"/>
    </row>
    <row r="38" spans="1:11" s="128" customFormat="1" ht="36" customHeight="1">
      <c r="A38" s="405" t="s">
        <v>136</v>
      </c>
      <c r="B38" s="405"/>
      <c r="C38" s="405"/>
      <c r="D38" s="405"/>
      <c r="E38" s="124">
        <f>SUM(E37:E37)</f>
        <v>345.8</v>
      </c>
      <c r="F38" s="405"/>
      <c r="G38" s="405"/>
      <c r="H38" s="217"/>
      <c r="I38" s="125"/>
      <c r="J38" s="126">
        <f>SUM(J37:J37)</f>
        <v>53599000</v>
      </c>
      <c r="K38" s="127"/>
    </row>
    <row r="39" spans="1:11" s="47" customFormat="1" ht="7.5" customHeight="1">
      <c r="A39" s="448"/>
      <c r="B39" s="448"/>
      <c r="C39" s="448"/>
      <c r="D39" s="448"/>
      <c r="E39" s="448"/>
      <c r="F39" s="448"/>
      <c r="G39" s="448"/>
      <c r="H39" s="448"/>
      <c r="I39" s="448"/>
      <c r="J39" s="448"/>
      <c r="K39" s="448"/>
    </row>
    <row r="40" spans="1:11" s="129" customFormat="1" ht="34.5" customHeight="1">
      <c r="A40" s="407" t="s">
        <v>137</v>
      </c>
      <c r="B40" s="407"/>
      <c r="C40" s="407"/>
      <c r="D40" s="407"/>
      <c r="E40" s="407"/>
      <c r="F40" s="407"/>
      <c r="G40" s="407"/>
      <c r="H40" s="407"/>
      <c r="I40" s="407"/>
      <c r="J40" s="407"/>
      <c r="K40" s="407"/>
    </row>
    <row r="41" spans="1:11" s="130" customFormat="1" ht="78.75" customHeight="1">
      <c r="A41" s="95" t="s">
        <v>138</v>
      </c>
      <c r="B41" s="408" t="s">
        <v>139</v>
      </c>
      <c r="C41" s="409"/>
      <c r="D41" s="409"/>
      <c r="E41" s="409"/>
      <c r="F41" s="409"/>
      <c r="G41" s="409"/>
      <c r="H41" s="409"/>
      <c r="I41" s="409"/>
      <c r="J41" s="409"/>
      <c r="K41" s="410"/>
    </row>
    <row r="42" spans="1:11" ht="34.5" customHeight="1">
      <c r="A42" s="403" t="s">
        <v>129</v>
      </c>
      <c r="B42" s="403" t="s">
        <v>140</v>
      </c>
      <c r="C42" s="403" t="s">
        <v>141</v>
      </c>
      <c r="D42" s="403" t="s">
        <v>142</v>
      </c>
      <c r="E42" s="403"/>
      <c r="F42" s="403"/>
      <c r="G42" s="403" t="s">
        <v>143</v>
      </c>
      <c r="H42" s="330" t="s">
        <v>144</v>
      </c>
      <c r="I42" s="403" t="s">
        <v>133</v>
      </c>
      <c r="J42" s="404" t="s">
        <v>134</v>
      </c>
      <c r="K42" s="403" t="s">
        <v>6</v>
      </c>
    </row>
    <row r="43" spans="1:11" ht="36" customHeight="1">
      <c r="A43" s="403"/>
      <c r="B43" s="403"/>
      <c r="C43" s="403"/>
      <c r="D43" s="54" t="s">
        <v>145</v>
      </c>
      <c r="E43" s="54" t="s">
        <v>146</v>
      </c>
      <c r="F43" s="55" t="s">
        <v>165</v>
      </c>
      <c r="G43" s="403"/>
      <c r="H43" s="330"/>
      <c r="I43" s="403"/>
      <c r="J43" s="404"/>
      <c r="K43" s="403"/>
    </row>
    <row r="44" spans="1:11" ht="36" customHeight="1">
      <c r="A44" s="70">
        <v>1</v>
      </c>
      <c r="B44" s="224" t="s">
        <v>279</v>
      </c>
      <c r="C44" s="70" t="s">
        <v>182</v>
      </c>
      <c r="D44" s="68"/>
      <c r="E44" s="237">
        <v>46</v>
      </c>
      <c r="F44" s="232">
        <v>1.45</v>
      </c>
      <c r="G44" s="70">
        <f>ROUND(E44*F44,2)</f>
        <v>66.7</v>
      </c>
      <c r="H44" s="223">
        <v>272700</v>
      </c>
      <c r="I44" s="238">
        <v>0</v>
      </c>
      <c r="J44" s="252">
        <f>ROUND(G44*H44*I44,2)</f>
        <v>0</v>
      </c>
      <c r="K44" s="70"/>
    </row>
    <row r="45" spans="1:11" ht="69" customHeight="1">
      <c r="A45" s="70">
        <v>2</v>
      </c>
      <c r="B45" s="225" t="s">
        <v>324</v>
      </c>
      <c r="C45" s="70" t="s">
        <v>182</v>
      </c>
      <c r="D45" s="68"/>
      <c r="E45" s="237">
        <v>11</v>
      </c>
      <c r="F45" s="232">
        <v>1.5</v>
      </c>
      <c r="G45" s="70">
        <f t="shared" ref="G45" si="0">ROUND(E45*F45,2)</f>
        <v>16.5</v>
      </c>
      <c r="H45" s="223">
        <v>548400</v>
      </c>
      <c r="I45" s="238">
        <v>0</v>
      </c>
      <c r="J45" s="252">
        <f t="shared" ref="J45:J46" si="1">ROUND(G45*H45*I45,2)</f>
        <v>0</v>
      </c>
      <c r="K45" s="70"/>
    </row>
    <row r="46" spans="1:11" ht="81.75" customHeight="1">
      <c r="A46" s="70">
        <v>3</v>
      </c>
      <c r="B46" s="224" t="s">
        <v>325</v>
      </c>
      <c r="C46" s="70" t="s">
        <v>182</v>
      </c>
      <c r="D46" s="68">
        <v>5.7</v>
      </c>
      <c r="E46" s="237">
        <v>9.5</v>
      </c>
      <c r="F46" s="232"/>
      <c r="G46" s="70">
        <f>ROUND(E46*D46,2)</f>
        <v>54.15</v>
      </c>
      <c r="H46" s="223">
        <v>1437400</v>
      </c>
      <c r="I46" s="238">
        <v>0</v>
      </c>
      <c r="J46" s="252">
        <f t="shared" si="1"/>
        <v>0</v>
      </c>
      <c r="K46" s="70"/>
    </row>
    <row r="47" spans="1:11" s="69" customFormat="1" ht="19.5">
      <c r="A47" s="440" t="s">
        <v>147</v>
      </c>
      <c r="B47" s="440"/>
      <c r="C47" s="440"/>
      <c r="D47" s="131"/>
      <c r="E47" s="132"/>
      <c r="F47" s="133"/>
      <c r="G47" s="202"/>
      <c r="H47" s="218"/>
      <c r="I47" s="58"/>
      <c r="J47" s="253">
        <f>SUM(J44:J46)</f>
        <v>0</v>
      </c>
      <c r="K47" s="135"/>
    </row>
    <row r="48" spans="1:11" s="69" customFormat="1" ht="50.25" customHeight="1">
      <c r="A48" s="95" t="s">
        <v>148</v>
      </c>
      <c r="B48" s="408" t="s">
        <v>351</v>
      </c>
      <c r="C48" s="409"/>
      <c r="D48" s="409"/>
      <c r="E48" s="409"/>
      <c r="F48" s="409"/>
      <c r="G48" s="409"/>
      <c r="H48" s="409"/>
      <c r="I48" s="409"/>
      <c r="J48" s="409"/>
      <c r="K48" s="410"/>
    </row>
    <row r="49" spans="1:15" s="69" customFormat="1" ht="61.5" customHeight="1">
      <c r="A49" s="56" t="s">
        <v>129</v>
      </c>
      <c r="B49" s="56" t="s">
        <v>149</v>
      </c>
      <c r="C49" s="56" t="s">
        <v>141</v>
      </c>
      <c r="D49" s="415" t="s">
        <v>150</v>
      </c>
      <c r="E49" s="416"/>
      <c r="F49" s="417"/>
      <c r="G49" s="57" t="s">
        <v>151</v>
      </c>
      <c r="H49" s="219" t="s">
        <v>144</v>
      </c>
      <c r="I49" s="58" t="s">
        <v>133</v>
      </c>
      <c r="J49" s="59" t="s">
        <v>134</v>
      </c>
      <c r="K49" s="56" t="s">
        <v>6</v>
      </c>
    </row>
    <row r="50" spans="1:15" s="195" customFormat="1" ht="38.25" customHeight="1">
      <c r="A50" s="70">
        <v>1</v>
      </c>
      <c r="B50" s="244" t="s">
        <v>327</v>
      </c>
      <c r="C50" s="194" t="s">
        <v>255</v>
      </c>
      <c r="D50" s="387" t="s">
        <v>328</v>
      </c>
      <c r="E50" s="388"/>
      <c r="F50" s="389"/>
      <c r="G50" s="194">
        <v>44</v>
      </c>
      <c r="H50" s="220">
        <v>189000</v>
      </c>
      <c r="I50" s="67">
        <v>0</v>
      </c>
      <c r="J50" s="136">
        <f>ROUND(G50*H50*I50,2)</f>
        <v>0</v>
      </c>
      <c r="K50" s="194"/>
    </row>
    <row r="51" spans="1:15" s="195" customFormat="1" ht="38.25" customHeight="1">
      <c r="A51" s="455">
        <v>2</v>
      </c>
      <c r="B51" s="412" t="s">
        <v>273</v>
      </c>
      <c r="C51" s="400" t="s">
        <v>255</v>
      </c>
      <c r="D51" s="387" t="s">
        <v>277</v>
      </c>
      <c r="E51" s="388"/>
      <c r="F51" s="389"/>
      <c r="G51" s="194">
        <v>4</v>
      </c>
      <c r="H51" s="220">
        <v>167600</v>
      </c>
      <c r="I51" s="67">
        <v>0</v>
      </c>
      <c r="J51" s="136">
        <f t="shared" ref="J51:J55" si="2">ROUND(G51*H51*I51,2)</f>
        <v>0</v>
      </c>
      <c r="K51" s="194"/>
    </row>
    <row r="52" spans="1:15" s="195" customFormat="1" ht="38.25" customHeight="1">
      <c r="A52" s="455"/>
      <c r="B52" s="413"/>
      <c r="C52" s="402"/>
      <c r="D52" s="387" t="s">
        <v>288</v>
      </c>
      <c r="E52" s="388"/>
      <c r="F52" s="389"/>
      <c r="G52" s="194">
        <v>10</v>
      </c>
      <c r="H52" s="220">
        <v>598500</v>
      </c>
      <c r="I52" s="67">
        <v>0</v>
      </c>
      <c r="J52" s="136">
        <f t="shared" si="2"/>
        <v>0</v>
      </c>
      <c r="K52" s="194"/>
    </row>
    <row r="53" spans="1:15" s="195" customFormat="1" ht="38.25" customHeight="1">
      <c r="A53" s="455">
        <v>3</v>
      </c>
      <c r="B53" s="412" t="s">
        <v>260</v>
      </c>
      <c r="C53" s="400" t="s">
        <v>255</v>
      </c>
      <c r="D53" s="387" t="s">
        <v>286</v>
      </c>
      <c r="E53" s="388"/>
      <c r="F53" s="389"/>
      <c r="G53" s="194">
        <v>1</v>
      </c>
      <c r="H53" s="220">
        <v>7400</v>
      </c>
      <c r="I53" s="67">
        <v>0</v>
      </c>
      <c r="J53" s="136">
        <f t="shared" si="2"/>
        <v>0</v>
      </c>
      <c r="K53" s="194"/>
    </row>
    <row r="54" spans="1:15" s="195" customFormat="1" ht="38.25" customHeight="1">
      <c r="A54" s="455"/>
      <c r="B54" s="413"/>
      <c r="C54" s="402"/>
      <c r="D54" s="387" t="s">
        <v>269</v>
      </c>
      <c r="E54" s="388"/>
      <c r="F54" s="389"/>
      <c r="G54" s="194">
        <v>7</v>
      </c>
      <c r="H54" s="220">
        <v>21000</v>
      </c>
      <c r="I54" s="67">
        <v>0</v>
      </c>
      <c r="J54" s="136">
        <f t="shared" si="2"/>
        <v>0</v>
      </c>
      <c r="K54" s="194"/>
    </row>
    <row r="55" spans="1:15" s="195" customFormat="1" ht="38.25" customHeight="1">
      <c r="A55" s="70">
        <v>4</v>
      </c>
      <c r="B55" s="239" t="s">
        <v>326</v>
      </c>
      <c r="C55" s="206" t="s">
        <v>250</v>
      </c>
      <c r="D55" s="387"/>
      <c r="E55" s="388"/>
      <c r="F55" s="389"/>
      <c r="G55" s="194">
        <v>20</v>
      </c>
      <c r="H55" s="220">
        <v>3700</v>
      </c>
      <c r="I55" s="67">
        <v>0</v>
      </c>
      <c r="J55" s="136">
        <f t="shared" si="2"/>
        <v>0</v>
      </c>
      <c r="K55" s="194"/>
    </row>
    <row r="56" spans="1:15" s="47" customFormat="1">
      <c r="A56" s="403" t="s">
        <v>147</v>
      </c>
      <c r="B56" s="403"/>
      <c r="C56" s="403"/>
      <c r="D56" s="403"/>
      <c r="E56" s="403"/>
      <c r="F56" s="403"/>
      <c r="G56" s="95"/>
      <c r="H56" s="217"/>
      <c r="I56" s="137"/>
      <c r="J56" s="138">
        <f>SUM(J50:J55)</f>
        <v>0</v>
      </c>
      <c r="K56" s="70"/>
    </row>
    <row r="57" spans="1:15" s="47" customFormat="1">
      <c r="A57" s="403" t="s">
        <v>152</v>
      </c>
      <c r="B57" s="403"/>
      <c r="C57" s="403"/>
      <c r="D57" s="403"/>
      <c r="E57" s="403"/>
      <c r="F57" s="403"/>
      <c r="G57" s="403"/>
      <c r="H57" s="403"/>
      <c r="I57" s="403"/>
      <c r="J57" s="138">
        <f>J56+J47</f>
        <v>0</v>
      </c>
      <c r="K57" s="70"/>
    </row>
    <row r="58" spans="1:15" ht="24.95" customHeight="1">
      <c r="A58" s="414" t="s">
        <v>153</v>
      </c>
      <c r="B58" s="414"/>
      <c r="C58" s="414"/>
    </row>
    <row r="59" spans="1:15" ht="36" customHeight="1">
      <c r="A59" s="95" t="s">
        <v>129</v>
      </c>
      <c r="B59" s="415" t="s">
        <v>154</v>
      </c>
      <c r="C59" s="416"/>
      <c r="D59" s="416"/>
      <c r="E59" s="417"/>
      <c r="F59" s="95" t="s">
        <v>130</v>
      </c>
      <c r="G59" s="95" t="s">
        <v>151</v>
      </c>
      <c r="H59" s="222" t="s">
        <v>144</v>
      </c>
      <c r="I59" s="61" t="s">
        <v>155</v>
      </c>
      <c r="J59" s="96" t="s">
        <v>134</v>
      </c>
      <c r="K59" s="95" t="s">
        <v>6</v>
      </c>
    </row>
    <row r="60" spans="1:15" ht="99.75" customHeight="1">
      <c r="A60" s="70">
        <v>1</v>
      </c>
      <c r="B60" s="439" t="s">
        <v>156</v>
      </c>
      <c r="C60" s="439"/>
      <c r="D60" s="439"/>
      <c r="E60" s="439"/>
      <c r="F60" s="70" t="s">
        <v>182</v>
      </c>
      <c r="G60" s="139">
        <f>F30</f>
        <v>345.8</v>
      </c>
      <c r="H60" s="223">
        <f>155000*5</f>
        <v>775000</v>
      </c>
      <c r="I60" s="67">
        <v>1</v>
      </c>
      <c r="J60" s="136">
        <f t="shared" ref="J60" si="3">ROUND(G60*H60*I60,2)</f>
        <v>267995000</v>
      </c>
      <c r="K60" s="62" t="s">
        <v>157</v>
      </c>
    </row>
    <row r="61" spans="1:15" ht="113.25" customHeight="1">
      <c r="A61" s="70">
        <v>2</v>
      </c>
      <c r="B61" s="439" t="s">
        <v>369</v>
      </c>
      <c r="C61" s="439"/>
      <c r="D61" s="439"/>
      <c r="E61" s="439"/>
      <c r="F61" s="70" t="s">
        <v>158</v>
      </c>
      <c r="G61" s="441" t="s">
        <v>374</v>
      </c>
      <c r="H61" s="442"/>
      <c r="I61" s="443"/>
      <c r="J61" s="140">
        <f>H25*30*16000*3</f>
        <v>5760000</v>
      </c>
      <c r="K61" s="63" t="s">
        <v>372</v>
      </c>
    </row>
    <row r="62" spans="1:15" s="47" customFormat="1" ht="83.25" customHeight="1">
      <c r="A62" s="70">
        <v>3</v>
      </c>
      <c r="B62" s="439" t="s">
        <v>159</v>
      </c>
      <c r="C62" s="439"/>
      <c r="D62" s="439"/>
      <c r="E62" s="439"/>
      <c r="F62" s="70" t="s">
        <v>182</v>
      </c>
      <c r="G62" s="141">
        <f>F30</f>
        <v>345.8</v>
      </c>
      <c r="H62" s="223">
        <v>3000</v>
      </c>
      <c r="I62" s="67">
        <v>1</v>
      </c>
      <c r="J62" s="140">
        <f>IF(G62*H62*I62&gt;=3000000,3000000,G62*H62*I62)</f>
        <v>1037400</v>
      </c>
      <c r="K62" s="65"/>
    </row>
    <row r="63" spans="1:15" ht="36.75" customHeight="1">
      <c r="A63" s="403" t="s">
        <v>136</v>
      </c>
      <c r="B63" s="403"/>
      <c r="C63" s="403"/>
      <c r="D63" s="403"/>
      <c r="E63" s="403"/>
      <c r="F63" s="403"/>
      <c r="G63" s="403"/>
      <c r="H63" s="403"/>
      <c r="I63" s="403"/>
      <c r="J63" s="138">
        <f>SUM(J60:J62)</f>
        <v>274792400</v>
      </c>
      <c r="K63" s="66"/>
    </row>
    <row r="64" spans="1:15">
      <c r="A64" s="438" t="s">
        <v>160</v>
      </c>
      <c r="B64" s="438"/>
      <c r="C64" s="438"/>
      <c r="D64" s="438"/>
      <c r="E64" s="438"/>
      <c r="F64" s="438"/>
      <c r="G64" s="435">
        <f>J38+J57+J63</f>
        <v>328391400</v>
      </c>
      <c r="H64" s="435"/>
      <c r="I64" s="142" t="s">
        <v>161</v>
      </c>
      <c r="K64" s="128"/>
      <c r="N64" s="64">
        <f>ROUND(F30/F28%,2)</f>
        <v>25.54</v>
      </c>
      <c r="O64" s="143">
        <f>H25</f>
        <v>4</v>
      </c>
    </row>
    <row r="65" spans="1:11" ht="32.25" customHeight="1">
      <c r="B65" s="105" t="s">
        <v>178</v>
      </c>
      <c r="C65" s="436" t="str">
        <f>[1]!VND(G64)</f>
        <v>Ba trăm hai mươi tám triệu, ba trăm chín mươi mốt nghìn, bốn trăm đồng chẵn.</v>
      </c>
      <c r="D65" s="436"/>
      <c r="E65" s="436"/>
      <c r="F65" s="436"/>
      <c r="G65" s="436"/>
      <c r="H65" s="436"/>
      <c r="I65" s="436"/>
      <c r="J65" s="436"/>
      <c r="K65" s="436"/>
    </row>
    <row r="66" spans="1:11" s="128" customFormat="1">
      <c r="A66" s="47"/>
      <c r="B66" s="49"/>
      <c r="C66" s="49"/>
      <c r="D66" s="49"/>
      <c r="E66" s="49"/>
      <c r="F66" s="60"/>
      <c r="G66" s="203"/>
      <c r="H66" s="221"/>
      <c r="I66" s="49"/>
      <c r="J66" s="60"/>
      <c r="K66" s="49"/>
    </row>
    <row r="67" spans="1:11" s="128" customFormat="1">
      <c r="A67" s="47"/>
      <c r="B67" s="49"/>
      <c r="C67" s="49"/>
      <c r="D67" s="49"/>
      <c r="E67" s="49"/>
      <c r="F67" s="60"/>
      <c r="G67" s="203"/>
      <c r="H67" s="221"/>
      <c r="I67" s="49"/>
      <c r="J67" s="60"/>
      <c r="K67" s="49"/>
    </row>
  </sheetData>
  <mergeCells count="87">
    <mergeCell ref="A16:K16"/>
    <mergeCell ref="A17:K17"/>
    <mergeCell ref="G61:I61"/>
    <mergeCell ref="C65:K65"/>
    <mergeCell ref="D55:F55"/>
    <mergeCell ref="D52:F52"/>
    <mergeCell ref="B62:E62"/>
    <mergeCell ref="A63:I63"/>
    <mergeCell ref="A64:F64"/>
    <mergeCell ref="G64:H64"/>
    <mergeCell ref="A53:A54"/>
    <mergeCell ref="B53:B54"/>
    <mergeCell ref="C53:C54"/>
    <mergeCell ref="D53:F53"/>
    <mergeCell ref="D54:F54"/>
    <mergeCell ref="B59:E59"/>
    <mergeCell ref="B60:E60"/>
    <mergeCell ref="B61:E61"/>
    <mergeCell ref="A56:C56"/>
    <mergeCell ref="D56:F56"/>
    <mergeCell ref="A57:I57"/>
    <mergeCell ref="A58:C58"/>
    <mergeCell ref="A47:C47"/>
    <mergeCell ref="B48:K48"/>
    <mergeCell ref="D49:F49"/>
    <mergeCell ref="D50:F50"/>
    <mergeCell ref="D51:F51"/>
    <mergeCell ref="A51:A52"/>
    <mergeCell ref="B51:B52"/>
    <mergeCell ref="C51:C52"/>
    <mergeCell ref="B41:K41"/>
    <mergeCell ref="A42:A43"/>
    <mergeCell ref="B42:B43"/>
    <mergeCell ref="C42:C43"/>
    <mergeCell ref="D42:F42"/>
    <mergeCell ref="G42:G43"/>
    <mergeCell ref="H42:H43"/>
    <mergeCell ref="I42:I43"/>
    <mergeCell ref="J42:J43"/>
    <mergeCell ref="K42:K43"/>
    <mergeCell ref="A40:K40"/>
    <mergeCell ref="B31:D31"/>
    <mergeCell ref="A33:K33"/>
    <mergeCell ref="A34:K34"/>
    <mergeCell ref="A35:D35"/>
    <mergeCell ref="B36:C36"/>
    <mergeCell ref="F36:G36"/>
    <mergeCell ref="B37:C37"/>
    <mergeCell ref="F37:G37"/>
    <mergeCell ref="A38:D38"/>
    <mergeCell ref="F38:G38"/>
    <mergeCell ref="A39:K39"/>
    <mergeCell ref="A32:K32"/>
    <mergeCell ref="A27:K27"/>
    <mergeCell ref="A28:E28"/>
    <mergeCell ref="A29:E29"/>
    <mergeCell ref="H29:I29"/>
    <mergeCell ref="B30:D30"/>
    <mergeCell ref="H30:K30"/>
    <mergeCell ref="A26:F26"/>
    <mergeCell ref="A18:K18"/>
    <mergeCell ref="A19:H19"/>
    <mergeCell ref="A20:K20"/>
    <mergeCell ref="A21:K21"/>
    <mergeCell ref="A22:E22"/>
    <mergeCell ref="F22:H22"/>
    <mergeCell ref="A23:G23"/>
    <mergeCell ref="H23:I23"/>
    <mergeCell ref="A24:K24"/>
    <mergeCell ref="A25:G25"/>
    <mergeCell ref="I25:J25"/>
    <mergeCell ref="A1:D1"/>
    <mergeCell ref="E1:K1"/>
    <mergeCell ref="A2:D2"/>
    <mergeCell ref="E2:K2"/>
    <mergeCell ref="A4:D4"/>
    <mergeCell ref="H4:K4"/>
    <mergeCell ref="A11:K11"/>
    <mergeCell ref="A12:K12"/>
    <mergeCell ref="A13:K13"/>
    <mergeCell ref="A15:K15"/>
    <mergeCell ref="A5:D5"/>
    <mergeCell ref="B6:K6"/>
    <mergeCell ref="A7:K7"/>
    <mergeCell ref="A8:K8"/>
    <mergeCell ref="A10:K10"/>
    <mergeCell ref="A14:K14"/>
  </mergeCells>
  <printOptions horizontalCentered="1"/>
  <pageMargins left="0.27559055118110237" right="7.874015748031496E-2" top="0.39370078740157483" bottom="0.15748031496062992" header="0.19685039370078741" footer="0.15748031496062992"/>
  <pageSetup paperSize="9" scale="67"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60"/>
  <sheetViews>
    <sheetView zoomScaleNormal="100" zoomScaleSheetLayoutView="100" workbookViewId="0">
      <selection activeCell="A11" sqref="A11:K11"/>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234" customWidth="1"/>
    <col min="7" max="7" width="9.75" style="203" customWidth="1"/>
    <col min="8" max="8" width="13.375" style="221" bestFit="1" customWidth="1"/>
    <col min="9" max="9" width="9.375" style="49" customWidth="1"/>
    <col min="10" max="10" width="17.625" style="60" customWidth="1"/>
    <col min="11" max="11" width="12.375" style="49" customWidth="1"/>
    <col min="12" max="12" width="8.125" style="49" customWidth="1"/>
    <col min="13" max="13" width="15.375" style="49" customWidth="1"/>
    <col min="14" max="14" width="9.75" style="49" customWidth="1"/>
    <col min="15" max="15" width="9" style="49"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226"/>
      <c r="G3" s="46"/>
      <c r="H3" s="207"/>
      <c r="I3" s="46"/>
      <c r="J3" s="46"/>
      <c r="K3" s="46"/>
    </row>
    <row r="4" spans="1:26" ht="16.5" customHeight="1">
      <c r="A4" s="420" t="s">
        <v>467</v>
      </c>
      <c r="B4" s="420"/>
      <c r="C4" s="420"/>
      <c r="D4" s="420"/>
      <c r="E4" s="107"/>
      <c r="F4" s="227"/>
      <c r="G4" s="198"/>
      <c r="H4" s="421"/>
      <c r="I4" s="421"/>
      <c r="J4" s="421"/>
      <c r="K4" s="421"/>
      <c r="L4" s="109"/>
      <c r="M4" s="109"/>
      <c r="N4" s="109"/>
      <c r="O4" s="109"/>
      <c r="P4" s="109"/>
      <c r="Q4" s="109"/>
      <c r="R4" s="109"/>
      <c r="S4" s="109"/>
      <c r="T4" s="107"/>
      <c r="U4" s="107"/>
      <c r="V4" s="107"/>
      <c r="W4" s="107"/>
      <c r="X4" s="107"/>
      <c r="Y4" s="107"/>
      <c r="Z4" s="110"/>
    </row>
    <row r="5" spans="1:26">
      <c r="A5" s="423"/>
      <c r="B5" s="423"/>
      <c r="C5" s="423"/>
      <c r="D5" s="423"/>
      <c r="E5" s="107"/>
      <c r="F5" s="227"/>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384</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228"/>
      <c r="G9" s="94"/>
      <c r="H9" s="209"/>
      <c r="I9" s="94"/>
      <c r="J9" s="94"/>
      <c r="K9" s="94"/>
    </row>
    <row r="10" spans="1:26">
      <c r="A10" s="424" t="s">
        <v>118</v>
      </c>
      <c r="B10" s="424"/>
      <c r="C10" s="424"/>
      <c r="D10" s="424"/>
      <c r="E10" s="424"/>
      <c r="F10" s="424"/>
      <c r="G10" s="424"/>
      <c r="H10" s="424"/>
      <c r="I10" s="424"/>
      <c r="J10" s="424"/>
      <c r="K10" s="424"/>
    </row>
    <row r="11" spans="1:26" ht="96" customHeight="1">
      <c r="A11" s="434" t="s">
        <v>385</v>
      </c>
      <c r="B11" s="434"/>
      <c r="C11" s="434"/>
      <c r="D11" s="434"/>
      <c r="E11" s="434"/>
      <c r="F11" s="434"/>
      <c r="G11" s="434"/>
      <c r="H11" s="434"/>
      <c r="I11" s="434"/>
      <c r="J11" s="434"/>
      <c r="K11" s="434"/>
    </row>
    <row r="12" spans="1:26" ht="92.25" customHeight="1">
      <c r="A12" s="433" t="s">
        <v>386</v>
      </c>
      <c r="B12" s="434"/>
      <c r="C12" s="434"/>
      <c r="D12" s="434"/>
      <c r="E12" s="434"/>
      <c r="F12" s="434"/>
      <c r="G12" s="434"/>
      <c r="H12" s="434"/>
      <c r="I12" s="434"/>
      <c r="J12" s="434"/>
      <c r="K12" s="434"/>
    </row>
    <row r="13" spans="1:26" ht="99" customHeight="1">
      <c r="A13" s="433" t="s">
        <v>387</v>
      </c>
      <c r="B13" s="433"/>
      <c r="C13" s="433"/>
      <c r="D13" s="433"/>
      <c r="E13" s="433"/>
      <c r="F13" s="433"/>
      <c r="G13" s="433"/>
      <c r="H13" s="433"/>
      <c r="I13" s="433"/>
      <c r="J13" s="433"/>
      <c r="K13" s="433"/>
    </row>
    <row r="14" spans="1:26" ht="57.75" customHeight="1">
      <c r="A14" s="433" t="s">
        <v>478</v>
      </c>
      <c r="B14" s="434"/>
      <c r="C14" s="434"/>
      <c r="D14" s="434"/>
      <c r="E14" s="434"/>
      <c r="F14" s="434"/>
      <c r="G14" s="434"/>
      <c r="H14" s="434"/>
      <c r="I14" s="434"/>
      <c r="J14" s="434"/>
      <c r="K14" s="434"/>
    </row>
    <row r="15" spans="1:26" ht="57.75" customHeight="1">
      <c r="A15" s="433" t="s">
        <v>388</v>
      </c>
      <c r="B15" s="434"/>
      <c r="C15" s="434"/>
      <c r="D15" s="434"/>
      <c r="E15" s="434"/>
      <c r="F15" s="434"/>
      <c r="G15" s="434"/>
      <c r="H15" s="434"/>
      <c r="I15" s="434"/>
      <c r="J15" s="434"/>
      <c r="K15" s="434"/>
    </row>
    <row r="16" spans="1:26" ht="39" customHeight="1">
      <c r="A16" s="433" t="s">
        <v>389</v>
      </c>
      <c r="B16" s="434"/>
      <c r="C16" s="434"/>
      <c r="D16" s="434"/>
      <c r="E16" s="434"/>
      <c r="F16" s="434"/>
      <c r="G16" s="434"/>
      <c r="H16" s="434"/>
      <c r="I16" s="434"/>
      <c r="J16" s="434"/>
      <c r="K16" s="434"/>
    </row>
    <row r="17" spans="1:16" ht="41.25" customHeight="1">
      <c r="A17" s="433" t="s">
        <v>415</v>
      </c>
      <c r="B17" s="433"/>
      <c r="C17" s="433"/>
      <c r="D17" s="433"/>
      <c r="E17" s="433"/>
      <c r="F17" s="433"/>
      <c r="G17" s="433"/>
      <c r="H17" s="433"/>
      <c r="I17" s="433"/>
      <c r="J17" s="433"/>
      <c r="K17" s="433"/>
    </row>
    <row r="18" spans="1:16" ht="57.75" customHeight="1">
      <c r="A18" s="433" t="s">
        <v>390</v>
      </c>
      <c r="B18" s="434"/>
      <c r="C18" s="434"/>
      <c r="D18" s="434"/>
      <c r="E18" s="434"/>
      <c r="F18" s="434"/>
      <c r="G18" s="434"/>
      <c r="H18" s="434"/>
      <c r="I18" s="434"/>
      <c r="J18" s="434"/>
      <c r="K18" s="434"/>
    </row>
    <row r="19" spans="1:16" ht="24.75" customHeight="1">
      <c r="A19" s="433" t="s">
        <v>391</v>
      </c>
      <c r="B19" s="434"/>
      <c r="C19" s="434"/>
      <c r="D19" s="434"/>
      <c r="E19" s="434"/>
      <c r="F19" s="434"/>
      <c r="G19" s="434"/>
      <c r="H19" s="434"/>
      <c r="I19" s="434"/>
      <c r="J19" s="434"/>
      <c r="K19" s="434"/>
    </row>
    <row r="20" spans="1:16" ht="39" customHeight="1">
      <c r="A20" s="459" t="s">
        <v>392</v>
      </c>
      <c r="B20" s="459"/>
      <c r="C20" s="459"/>
      <c r="D20" s="459"/>
      <c r="E20" s="459"/>
      <c r="F20" s="459"/>
      <c r="G20" s="459"/>
      <c r="H20" s="459"/>
      <c r="I20" s="459"/>
      <c r="J20" s="459"/>
      <c r="K20" s="459"/>
    </row>
    <row r="21" spans="1:16">
      <c r="A21" s="414" t="s">
        <v>205</v>
      </c>
      <c r="B21" s="414"/>
      <c r="C21" s="414"/>
      <c r="D21" s="414"/>
      <c r="E21" s="414"/>
      <c r="F21" s="414"/>
      <c r="G21" s="414"/>
      <c r="H21" s="414"/>
      <c r="I21" s="48"/>
      <c r="J21" s="48"/>
      <c r="K21" s="48"/>
    </row>
    <row r="22" spans="1:16">
      <c r="A22" s="414" t="s">
        <v>393</v>
      </c>
      <c r="B22" s="414"/>
      <c r="C22" s="414"/>
      <c r="D22" s="414"/>
      <c r="E22" s="414"/>
      <c r="F22" s="414"/>
      <c r="G22" s="414"/>
      <c r="H22" s="414"/>
      <c r="I22" s="414"/>
      <c r="J22" s="414"/>
      <c r="K22" s="414"/>
    </row>
    <row r="23" spans="1:16">
      <c r="A23" s="414" t="s">
        <v>394</v>
      </c>
      <c r="B23" s="414"/>
      <c r="C23" s="414"/>
      <c r="D23" s="414"/>
      <c r="E23" s="414"/>
      <c r="F23" s="414"/>
      <c r="G23" s="414"/>
      <c r="H23" s="414"/>
      <c r="I23" s="414"/>
      <c r="J23" s="414"/>
      <c r="K23" s="414"/>
    </row>
    <row r="24" spans="1:16" ht="21" customHeight="1">
      <c r="A24" s="395" t="s">
        <v>395</v>
      </c>
      <c r="B24" s="395"/>
      <c r="C24" s="395"/>
      <c r="D24" s="395"/>
      <c r="E24" s="395"/>
      <c r="F24" s="395" t="s">
        <v>396</v>
      </c>
      <c r="G24" s="395"/>
      <c r="H24" s="395"/>
      <c r="I24" s="50"/>
      <c r="J24" s="50"/>
      <c r="K24" s="50"/>
    </row>
    <row r="25" spans="1:16" ht="20.25" customHeight="1">
      <c r="A25" s="395" t="s">
        <v>397</v>
      </c>
      <c r="B25" s="395"/>
      <c r="C25" s="395"/>
      <c r="D25" s="395"/>
      <c r="E25" s="395"/>
      <c r="F25" s="395"/>
      <c r="G25" s="395"/>
      <c r="H25" s="422" t="s">
        <v>119</v>
      </c>
      <c r="I25" s="422"/>
      <c r="J25" s="282" t="s">
        <v>398</v>
      </c>
      <c r="K25" s="50"/>
    </row>
    <row r="26" spans="1:16" ht="20.25" customHeight="1">
      <c r="A26" s="395" t="s">
        <v>399</v>
      </c>
      <c r="B26" s="395"/>
      <c r="C26" s="395"/>
      <c r="D26" s="395"/>
      <c r="E26" s="395"/>
      <c r="F26" s="395"/>
      <c r="G26" s="395"/>
      <c r="H26" s="395"/>
      <c r="I26" s="395"/>
      <c r="J26" s="395"/>
      <c r="K26" s="395"/>
    </row>
    <row r="27" spans="1:16" ht="20.25" customHeight="1">
      <c r="A27" s="395" t="s">
        <v>120</v>
      </c>
      <c r="B27" s="395"/>
      <c r="C27" s="395"/>
      <c r="D27" s="395"/>
      <c r="E27" s="395"/>
      <c r="F27" s="395"/>
      <c r="G27" s="395"/>
      <c r="H27" s="210">
        <v>10</v>
      </c>
      <c r="I27" s="395" t="s">
        <v>121</v>
      </c>
      <c r="J27" s="395"/>
      <c r="K27" s="50"/>
      <c r="L27" s="48"/>
      <c r="M27" s="48"/>
      <c r="O27" s="48"/>
      <c r="P27" s="48"/>
    </row>
    <row r="28" spans="1:16">
      <c r="A28" s="414" t="s">
        <v>122</v>
      </c>
      <c r="B28" s="414"/>
      <c r="C28" s="414"/>
      <c r="D28" s="414"/>
      <c r="E28" s="414"/>
      <c r="F28" s="414"/>
      <c r="G28" s="199"/>
      <c r="H28" s="211"/>
      <c r="I28" s="51"/>
      <c r="J28" s="51"/>
      <c r="K28" s="51"/>
    </row>
    <row r="29" spans="1:16" ht="38.25" customHeight="1">
      <c r="A29" s="394" t="s">
        <v>400</v>
      </c>
      <c r="B29" s="394"/>
      <c r="C29" s="394"/>
      <c r="D29" s="394"/>
      <c r="E29" s="394"/>
      <c r="F29" s="394"/>
      <c r="G29" s="394"/>
      <c r="H29" s="394"/>
      <c r="I29" s="394"/>
      <c r="J29" s="394"/>
      <c r="K29" s="394"/>
    </row>
    <row r="30" spans="1:16" s="115" customFormat="1" ht="29.25" customHeight="1">
      <c r="A30" s="426" t="s">
        <v>401</v>
      </c>
      <c r="B30" s="426"/>
      <c r="C30" s="426"/>
      <c r="D30" s="426"/>
      <c r="E30" s="426"/>
      <c r="F30" s="283">
        <v>2124.3000000000002</v>
      </c>
      <c r="G30" s="284" t="s">
        <v>179</v>
      </c>
      <c r="H30" s="212"/>
      <c r="I30" s="114"/>
      <c r="J30" s="285"/>
      <c r="K30" s="114"/>
    </row>
    <row r="31" spans="1:16" s="115" customFormat="1" ht="29.25" customHeight="1">
      <c r="A31" s="426" t="s">
        <v>402</v>
      </c>
      <c r="B31" s="426"/>
      <c r="C31" s="426"/>
      <c r="D31" s="426"/>
      <c r="E31" s="426"/>
      <c r="F31" s="283">
        <v>39.700000000000003</v>
      </c>
      <c r="G31" s="284" t="s">
        <v>179</v>
      </c>
      <c r="H31" s="212"/>
      <c r="I31" s="114"/>
      <c r="J31" s="285"/>
      <c r="K31" s="114"/>
    </row>
    <row r="32" spans="1:16" s="115" customFormat="1" ht="42" customHeight="1">
      <c r="A32" s="426" t="s">
        <v>403</v>
      </c>
      <c r="B32" s="426"/>
      <c r="C32" s="426"/>
      <c r="D32" s="426"/>
      <c r="E32" s="426"/>
      <c r="F32" s="283">
        <f>F30-F31</f>
        <v>2084.6000000000004</v>
      </c>
      <c r="G32" s="284" t="s">
        <v>179</v>
      </c>
      <c r="H32" s="212"/>
      <c r="I32" s="114"/>
      <c r="J32" s="286"/>
      <c r="K32" s="114"/>
    </row>
    <row r="33" spans="1:11" ht="22.5">
      <c r="A33" s="395" t="s">
        <v>124</v>
      </c>
      <c r="B33" s="395"/>
      <c r="C33" s="395"/>
      <c r="D33" s="395"/>
      <c r="E33" s="395"/>
      <c r="F33" s="283">
        <v>1638.3</v>
      </c>
      <c r="G33" s="281" t="s">
        <v>180</v>
      </c>
      <c r="H33" s="396" t="s">
        <v>125</v>
      </c>
      <c r="I33" s="396"/>
      <c r="J33" s="50"/>
      <c r="K33" s="50"/>
    </row>
    <row r="34" spans="1:11" s="120" customFormat="1" ht="35.25" customHeight="1">
      <c r="A34" s="117"/>
      <c r="B34" s="399" t="s">
        <v>126</v>
      </c>
      <c r="C34" s="399"/>
      <c r="D34" s="399"/>
      <c r="E34" s="118"/>
      <c r="F34" s="287">
        <v>720.3</v>
      </c>
      <c r="G34" s="281" t="s">
        <v>181</v>
      </c>
      <c r="H34" s="397" t="str">
        <f>"(Chiếm "&amp;N57&amp;"% Tổng diện tích đất nông nghiệp được giao đang sử dụng)"</f>
        <v>(Chiếm 34,55% Tổng diện tích đất nông nghiệp được giao đang sử dụng)</v>
      </c>
      <c r="I34" s="397"/>
      <c r="J34" s="397"/>
      <c r="K34" s="397"/>
    </row>
    <row r="35" spans="1:11" s="120" customFormat="1" ht="22.5">
      <c r="A35" s="117"/>
      <c r="B35" s="399" t="s">
        <v>127</v>
      </c>
      <c r="C35" s="399"/>
      <c r="D35" s="399"/>
      <c r="E35" s="121"/>
      <c r="F35" s="287">
        <f>F33-F34</f>
        <v>918</v>
      </c>
      <c r="G35" s="281" t="s">
        <v>181</v>
      </c>
      <c r="H35" s="213"/>
      <c r="I35" s="122"/>
      <c r="J35" s="122"/>
      <c r="K35" s="122"/>
    </row>
    <row r="36" spans="1:11" ht="79.5" customHeight="1">
      <c r="A36" s="437" t="s">
        <v>404</v>
      </c>
      <c r="B36" s="437"/>
      <c r="C36" s="437"/>
      <c r="D36" s="437"/>
      <c r="E36" s="437"/>
      <c r="F36" s="437"/>
      <c r="G36" s="437"/>
      <c r="H36" s="437"/>
      <c r="I36" s="437"/>
      <c r="J36" s="437"/>
      <c r="K36" s="437"/>
    </row>
    <row r="37" spans="1:11" ht="24" customHeight="1">
      <c r="A37" s="414" t="s">
        <v>206</v>
      </c>
      <c r="B37" s="414"/>
      <c r="C37" s="414"/>
      <c r="D37" s="414"/>
      <c r="E37" s="414"/>
      <c r="F37" s="414"/>
      <c r="G37" s="414"/>
      <c r="H37" s="414"/>
      <c r="I37" s="414"/>
      <c r="J37" s="414"/>
      <c r="K37" s="414"/>
    </row>
    <row r="38" spans="1:11" s="48" customFormat="1" ht="18.75" customHeight="1">
      <c r="A38" s="427" t="s">
        <v>128</v>
      </c>
      <c r="B38" s="427"/>
      <c r="C38" s="427"/>
      <c r="D38" s="427"/>
      <c r="E38" s="52"/>
      <c r="F38" s="230"/>
      <c r="G38" s="201"/>
      <c r="H38" s="214"/>
      <c r="I38" s="52"/>
      <c r="J38" s="53"/>
      <c r="K38" s="52"/>
    </row>
    <row r="39" spans="1:11" s="47" customFormat="1" ht="75.75" customHeight="1">
      <c r="A39" s="95" t="s">
        <v>129</v>
      </c>
      <c r="B39" s="403" t="s">
        <v>12</v>
      </c>
      <c r="C39" s="428"/>
      <c r="D39" s="95" t="s">
        <v>130</v>
      </c>
      <c r="E39" s="95" t="s">
        <v>131</v>
      </c>
      <c r="F39" s="429" t="s">
        <v>477</v>
      </c>
      <c r="G39" s="430"/>
      <c r="H39" s="215" t="s">
        <v>132</v>
      </c>
      <c r="I39" s="95" t="s">
        <v>133</v>
      </c>
      <c r="J39" s="96" t="s">
        <v>134</v>
      </c>
      <c r="K39" s="95" t="s">
        <v>6</v>
      </c>
    </row>
    <row r="40" spans="1:11" s="52" customFormat="1" ht="33" customHeight="1">
      <c r="A40" s="70">
        <v>1</v>
      </c>
      <c r="B40" s="431" t="s">
        <v>352</v>
      </c>
      <c r="C40" s="432"/>
      <c r="D40" s="65" t="s">
        <v>182</v>
      </c>
      <c r="E40" s="123">
        <f>F34</f>
        <v>720.3</v>
      </c>
      <c r="F40" s="392">
        <v>155000</v>
      </c>
      <c r="G40" s="393"/>
      <c r="H40" s="216"/>
      <c r="I40" s="67">
        <v>1</v>
      </c>
      <c r="J40" s="71">
        <f>E40*F40*I40</f>
        <v>111646500</v>
      </c>
      <c r="K40" s="70"/>
    </row>
    <row r="41" spans="1:11" s="128" customFormat="1" ht="36" customHeight="1">
      <c r="A41" s="405" t="s">
        <v>136</v>
      </c>
      <c r="B41" s="405"/>
      <c r="C41" s="405"/>
      <c r="D41" s="405"/>
      <c r="E41" s="124">
        <f>SUM(E40:E40)</f>
        <v>720.3</v>
      </c>
      <c r="F41" s="405"/>
      <c r="G41" s="405"/>
      <c r="H41" s="217"/>
      <c r="I41" s="125"/>
      <c r="J41" s="126">
        <f>SUM(J40:J40)</f>
        <v>111646500</v>
      </c>
      <c r="K41" s="127"/>
    </row>
    <row r="42" spans="1:11" s="129" customFormat="1" ht="26.25" customHeight="1">
      <c r="A42" s="407" t="s">
        <v>137</v>
      </c>
      <c r="B42" s="407"/>
      <c r="C42" s="407"/>
      <c r="D42" s="407"/>
      <c r="E42" s="407"/>
      <c r="F42" s="407"/>
      <c r="G42" s="407"/>
      <c r="H42" s="407"/>
      <c r="I42" s="407"/>
      <c r="J42" s="407"/>
      <c r="K42" s="407"/>
    </row>
    <row r="43" spans="1:11" s="130" customFormat="1" ht="29.25" customHeight="1">
      <c r="A43" s="95" t="s">
        <v>138</v>
      </c>
      <c r="B43" s="408" t="s">
        <v>405</v>
      </c>
      <c r="C43" s="409"/>
      <c r="D43" s="409"/>
      <c r="E43" s="409"/>
      <c r="F43" s="409"/>
      <c r="G43" s="409"/>
      <c r="H43" s="409"/>
      <c r="I43" s="409"/>
      <c r="J43" s="409"/>
      <c r="K43" s="410"/>
    </row>
    <row r="44" spans="1:11" ht="23.25" customHeight="1">
      <c r="A44" s="403" t="s">
        <v>129</v>
      </c>
      <c r="B44" s="403" t="s">
        <v>140</v>
      </c>
      <c r="C44" s="403" t="s">
        <v>141</v>
      </c>
      <c r="D44" s="403" t="s">
        <v>142</v>
      </c>
      <c r="E44" s="403"/>
      <c r="F44" s="403"/>
      <c r="G44" s="403" t="s">
        <v>143</v>
      </c>
      <c r="H44" s="330" t="s">
        <v>144</v>
      </c>
      <c r="I44" s="403" t="s">
        <v>133</v>
      </c>
      <c r="J44" s="404" t="s">
        <v>134</v>
      </c>
      <c r="K44" s="403" t="s">
        <v>6</v>
      </c>
    </row>
    <row r="45" spans="1:11" ht="36" customHeight="1">
      <c r="A45" s="403"/>
      <c r="B45" s="403"/>
      <c r="C45" s="403"/>
      <c r="D45" s="54" t="s">
        <v>145</v>
      </c>
      <c r="E45" s="54" t="s">
        <v>146</v>
      </c>
      <c r="F45" s="231" t="s">
        <v>165</v>
      </c>
      <c r="G45" s="403"/>
      <c r="H45" s="330"/>
      <c r="I45" s="403"/>
      <c r="J45" s="404"/>
      <c r="K45" s="403"/>
    </row>
    <row r="46" spans="1:11" s="69" customFormat="1" ht="19.5">
      <c r="A46" s="440" t="s">
        <v>147</v>
      </c>
      <c r="B46" s="440"/>
      <c r="C46" s="440"/>
      <c r="D46" s="131"/>
      <c r="E46" s="132"/>
      <c r="F46" s="233"/>
      <c r="G46" s="202"/>
      <c r="H46" s="218"/>
      <c r="I46" s="58"/>
      <c r="J46" s="134">
        <v>0</v>
      </c>
      <c r="K46" s="135"/>
    </row>
    <row r="47" spans="1:11" s="69" customFormat="1" ht="29.25" customHeight="1">
      <c r="A47" s="95" t="s">
        <v>148</v>
      </c>
      <c r="B47" s="408" t="s">
        <v>406</v>
      </c>
      <c r="C47" s="409"/>
      <c r="D47" s="409"/>
      <c r="E47" s="409"/>
      <c r="F47" s="409"/>
      <c r="G47" s="409"/>
      <c r="H47" s="409"/>
      <c r="I47" s="409"/>
      <c r="J47" s="409"/>
      <c r="K47" s="410"/>
    </row>
    <row r="48" spans="1:11" s="69" customFormat="1" ht="61.5" customHeight="1">
      <c r="A48" s="56" t="s">
        <v>129</v>
      </c>
      <c r="B48" s="56" t="s">
        <v>149</v>
      </c>
      <c r="C48" s="56" t="s">
        <v>141</v>
      </c>
      <c r="D48" s="415" t="s">
        <v>150</v>
      </c>
      <c r="E48" s="416"/>
      <c r="F48" s="417"/>
      <c r="G48" s="57" t="s">
        <v>151</v>
      </c>
      <c r="H48" s="219" t="s">
        <v>144</v>
      </c>
      <c r="I48" s="58" t="s">
        <v>133</v>
      </c>
      <c r="J48" s="59" t="s">
        <v>134</v>
      </c>
      <c r="K48" s="56" t="s">
        <v>6</v>
      </c>
    </row>
    <row r="49" spans="1:15" s="47" customFormat="1">
      <c r="A49" s="403" t="s">
        <v>147</v>
      </c>
      <c r="B49" s="403"/>
      <c r="C49" s="403"/>
      <c r="D49" s="403"/>
      <c r="E49" s="403"/>
      <c r="F49" s="403"/>
      <c r="G49" s="95"/>
      <c r="H49" s="217"/>
      <c r="I49" s="137"/>
      <c r="J49" s="138">
        <v>0</v>
      </c>
      <c r="K49" s="70"/>
    </row>
    <row r="50" spans="1:15" s="47" customFormat="1">
      <c r="A50" s="403" t="s">
        <v>152</v>
      </c>
      <c r="B50" s="403"/>
      <c r="C50" s="403"/>
      <c r="D50" s="403"/>
      <c r="E50" s="403"/>
      <c r="F50" s="403"/>
      <c r="G50" s="403"/>
      <c r="H50" s="403"/>
      <c r="I50" s="403"/>
      <c r="J50" s="138">
        <f>J49+J46</f>
        <v>0</v>
      </c>
      <c r="K50" s="70"/>
    </row>
    <row r="51" spans="1:15" ht="24.95" customHeight="1">
      <c r="A51" s="414" t="s">
        <v>153</v>
      </c>
      <c r="B51" s="414"/>
      <c r="C51" s="414"/>
    </row>
    <row r="52" spans="1:15" ht="36" customHeight="1">
      <c r="A52" s="95" t="s">
        <v>129</v>
      </c>
      <c r="B52" s="415" t="s">
        <v>154</v>
      </c>
      <c r="C52" s="416"/>
      <c r="D52" s="416"/>
      <c r="E52" s="417"/>
      <c r="F52" s="235" t="s">
        <v>130</v>
      </c>
      <c r="G52" s="95" t="s">
        <v>151</v>
      </c>
      <c r="H52" s="222" t="s">
        <v>144</v>
      </c>
      <c r="I52" s="61" t="s">
        <v>155</v>
      </c>
      <c r="J52" s="96" t="s">
        <v>134</v>
      </c>
      <c r="K52" s="95" t="s">
        <v>6</v>
      </c>
    </row>
    <row r="53" spans="1:15" ht="99.75" customHeight="1">
      <c r="A53" s="70">
        <v>1</v>
      </c>
      <c r="B53" s="439" t="s">
        <v>156</v>
      </c>
      <c r="C53" s="439"/>
      <c r="D53" s="439"/>
      <c r="E53" s="439"/>
      <c r="F53" s="236" t="s">
        <v>182</v>
      </c>
      <c r="G53" s="139">
        <f>F34</f>
        <v>720.3</v>
      </c>
      <c r="H53" s="223">
        <f>155000*5</f>
        <v>775000</v>
      </c>
      <c r="I53" s="67">
        <v>1</v>
      </c>
      <c r="J53" s="136">
        <f t="shared" ref="J53" si="0">ROUND(G53*H53*I53,2)</f>
        <v>558232500</v>
      </c>
      <c r="K53" s="288" t="s">
        <v>157</v>
      </c>
    </row>
    <row r="54" spans="1:15" ht="77.25" customHeight="1">
      <c r="A54" s="70">
        <v>2</v>
      </c>
      <c r="B54" s="439" t="s">
        <v>407</v>
      </c>
      <c r="C54" s="439"/>
      <c r="D54" s="439"/>
      <c r="E54" s="439"/>
      <c r="F54" s="236" t="s">
        <v>158</v>
      </c>
      <c r="G54" s="456" t="s">
        <v>408</v>
      </c>
      <c r="H54" s="457"/>
      <c r="I54" s="458"/>
      <c r="J54" s="140">
        <f>H27*30*16000*6</f>
        <v>28800000</v>
      </c>
      <c r="K54" s="289" t="str">
        <f>IF(N57&lt;30, "Không hỗ trợ do thu hồi dưới 30%", IF(N57&lt;=70, "Thu hồi từ 30% đến 70% hỗ trợ 06 tháng", "Thu hồi trên 70% hỗ trợ 12 tháng"))</f>
        <v>Thu hồi từ 30% đến 70% hỗ trợ 06 tháng</v>
      </c>
    </row>
    <row r="55" spans="1:15" s="47" customFormat="1" ht="89.25" customHeight="1">
      <c r="A55" s="70">
        <v>3</v>
      </c>
      <c r="B55" s="439" t="s">
        <v>409</v>
      </c>
      <c r="C55" s="439"/>
      <c r="D55" s="439"/>
      <c r="E55" s="439"/>
      <c r="F55" s="236" t="s">
        <v>182</v>
      </c>
      <c r="G55" s="141">
        <f>F34</f>
        <v>720.3</v>
      </c>
      <c r="H55" s="223">
        <v>3000</v>
      </c>
      <c r="I55" s="67">
        <v>1</v>
      </c>
      <c r="J55" s="140">
        <f>IF(G55*H55*I55&gt;=3000000,3000000,G55*H55*I55)</f>
        <v>2160900</v>
      </c>
      <c r="K55" s="290"/>
    </row>
    <row r="56" spans="1:15" ht="36.75" customHeight="1">
      <c r="A56" s="403" t="s">
        <v>136</v>
      </c>
      <c r="B56" s="403"/>
      <c r="C56" s="403"/>
      <c r="D56" s="403"/>
      <c r="E56" s="403"/>
      <c r="F56" s="403"/>
      <c r="G56" s="403"/>
      <c r="H56" s="403"/>
      <c r="I56" s="403"/>
      <c r="J56" s="138">
        <f>SUM(J53:J55)</f>
        <v>589193400</v>
      </c>
      <c r="K56" s="66"/>
    </row>
    <row r="57" spans="1:15">
      <c r="A57" s="438" t="s">
        <v>160</v>
      </c>
      <c r="B57" s="438"/>
      <c r="C57" s="438"/>
      <c r="D57" s="438"/>
      <c r="E57" s="438"/>
      <c r="F57" s="438"/>
      <c r="G57" s="435">
        <f>J41+J50+J56</f>
        <v>700839900</v>
      </c>
      <c r="H57" s="435"/>
      <c r="I57" s="142" t="s">
        <v>161</v>
      </c>
      <c r="K57" s="128"/>
      <c r="N57" s="64">
        <f>ROUND(F34/F32%,2)</f>
        <v>34.549999999999997</v>
      </c>
      <c r="O57" s="143">
        <f>H27</f>
        <v>10</v>
      </c>
    </row>
    <row r="58" spans="1:15" ht="18" customHeight="1">
      <c r="B58" s="105" t="s">
        <v>178</v>
      </c>
      <c r="C58" s="436" t="str">
        <f>[1]!VND(G57)</f>
        <v>Bảy trăm triệu , tám trăm ba mươi chín nghìn, chín trăm đồng chẵn.</v>
      </c>
      <c r="D58" s="436"/>
      <c r="E58" s="436"/>
      <c r="F58" s="436"/>
      <c r="G58" s="436"/>
      <c r="H58" s="436"/>
      <c r="I58" s="436"/>
      <c r="J58" s="436"/>
      <c r="K58" s="436"/>
    </row>
    <row r="59" spans="1:15" s="128" customFormat="1" ht="18" customHeight="1">
      <c r="A59" s="47"/>
      <c r="B59" s="49"/>
      <c r="C59" s="49"/>
      <c r="D59" s="49"/>
      <c r="E59" s="49"/>
      <c r="F59" s="234"/>
      <c r="G59" s="203"/>
      <c r="H59" s="221"/>
      <c r="I59" s="49"/>
      <c r="J59" s="60"/>
      <c r="K59" s="49"/>
    </row>
    <row r="60" spans="1:15" s="128" customFormat="1" ht="18" customHeight="1">
      <c r="A60" s="47"/>
      <c r="B60" s="49"/>
      <c r="C60" s="49"/>
      <c r="D60" s="49"/>
      <c r="E60" s="49"/>
      <c r="F60" s="234"/>
      <c r="G60" s="203"/>
      <c r="H60" s="221"/>
      <c r="I60" s="49"/>
      <c r="J60" s="60"/>
      <c r="K60" s="49"/>
    </row>
  </sheetData>
  <mergeCells count="77">
    <mergeCell ref="A1:D1"/>
    <mergeCell ref="E1:K1"/>
    <mergeCell ref="A2:D2"/>
    <mergeCell ref="E2:K2"/>
    <mergeCell ref="A4:D4"/>
    <mergeCell ref="H4:K4"/>
    <mergeCell ref="A19:K19"/>
    <mergeCell ref="A5:D5"/>
    <mergeCell ref="B6:K6"/>
    <mergeCell ref="A7:K7"/>
    <mergeCell ref="A8:K8"/>
    <mergeCell ref="A10:K10"/>
    <mergeCell ref="A11:K11"/>
    <mergeCell ref="A14:K14"/>
    <mergeCell ref="A17:K17"/>
    <mergeCell ref="A12:K12"/>
    <mergeCell ref="A13:K13"/>
    <mergeCell ref="A15:K15"/>
    <mergeCell ref="A16:K16"/>
    <mergeCell ref="A18:K18"/>
    <mergeCell ref="A28:F28"/>
    <mergeCell ref="A20:K20"/>
    <mergeCell ref="A21:H21"/>
    <mergeCell ref="A22:K22"/>
    <mergeCell ref="A23:K23"/>
    <mergeCell ref="A24:E24"/>
    <mergeCell ref="F24:H24"/>
    <mergeCell ref="A25:G25"/>
    <mergeCell ref="H25:I25"/>
    <mergeCell ref="A26:K26"/>
    <mergeCell ref="A27:G27"/>
    <mergeCell ref="I27:J27"/>
    <mergeCell ref="A38:D38"/>
    <mergeCell ref="A29:K29"/>
    <mergeCell ref="A30:E30"/>
    <mergeCell ref="A31:E31"/>
    <mergeCell ref="A32:E32"/>
    <mergeCell ref="A33:E33"/>
    <mergeCell ref="H33:I33"/>
    <mergeCell ref="B34:D34"/>
    <mergeCell ref="H34:K34"/>
    <mergeCell ref="B35:D35"/>
    <mergeCell ref="A36:K36"/>
    <mergeCell ref="A37:K37"/>
    <mergeCell ref="B39:C39"/>
    <mergeCell ref="F39:G39"/>
    <mergeCell ref="B40:C40"/>
    <mergeCell ref="F40:G40"/>
    <mergeCell ref="A41:D41"/>
    <mergeCell ref="F41:G41"/>
    <mergeCell ref="A42:K42"/>
    <mergeCell ref="B43:K43"/>
    <mergeCell ref="A44:A45"/>
    <mergeCell ref="B44:B45"/>
    <mergeCell ref="C44:C45"/>
    <mergeCell ref="D44:F44"/>
    <mergeCell ref="G44:G45"/>
    <mergeCell ref="H44:H45"/>
    <mergeCell ref="I44:I45"/>
    <mergeCell ref="J44:J45"/>
    <mergeCell ref="K44:K45"/>
    <mergeCell ref="A46:C46"/>
    <mergeCell ref="B47:K47"/>
    <mergeCell ref="D48:F48"/>
    <mergeCell ref="A49:C49"/>
    <mergeCell ref="D49:F49"/>
    <mergeCell ref="A50:I50"/>
    <mergeCell ref="A51:C51"/>
    <mergeCell ref="B52:E52"/>
    <mergeCell ref="B53:E53"/>
    <mergeCell ref="B54:E54"/>
    <mergeCell ref="G54:I54"/>
    <mergeCell ref="B55:E55"/>
    <mergeCell ref="A56:I56"/>
    <mergeCell ref="A57:F57"/>
    <mergeCell ref="G57:H57"/>
    <mergeCell ref="C58:K58"/>
  </mergeCells>
  <printOptions horizontalCentered="1"/>
  <pageMargins left="0.354329615048119" right="0.19684930008748908" top="0.31496062992125984" bottom="0.27558945756780401" header="0.31496062992125984" footer="0.15748031496062992"/>
  <pageSetup paperSize="9" scale="6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63"/>
  <sheetViews>
    <sheetView view="pageBreakPreview" zoomScale="75" zoomScaleNormal="100" zoomScaleSheetLayoutView="75" workbookViewId="0">
      <selection activeCell="A12" sqref="A12:K12"/>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3.125" style="234" customWidth="1"/>
    <col min="7" max="7" width="13.125" style="203" customWidth="1"/>
    <col min="8" max="8" width="12.5" style="221" customWidth="1"/>
    <col min="9" max="9" width="9.375" style="49" customWidth="1"/>
    <col min="10" max="10" width="17.625" style="60" customWidth="1"/>
    <col min="11" max="11" width="12.375" style="49" customWidth="1"/>
    <col min="12" max="12" width="8.125" style="49" customWidth="1"/>
    <col min="13" max="13" width="15.375" style="49" customWidth="1"/>
    <col min="14" max="14" width="9.75" style="49" customWidth="1"/>
    <col min="15" max="15" width="9" style="49"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226"/>
      <c r="G3" s="46"/>
      <c r="H3" s="207"/>
      <c r="I3" s="46"/>
      <c r="J3" s="46"/>
      <c r="K3" s="46"/>
    </row>
    <row r="4" spans="1:26" ht="16.5" customHeight="1">
      <c r="A4" s="420" t="s">
        <v>468</v>
      </c>
      <c r="B4" s="420"/>
      <c r="C4" s="420"/>
      <c r="D4" s="420"/>
      <c r="E4" s="107"/>
      <c r="F4" s="227"/>
      <c r="G4" s="198"/>
      <c r="H4" s="421"/>
      <c r="I4" s="421"/>
      <c r="J4" s="421"/>
      <c r="K4" s="421"/>
      <c r="L4" s="109"/>
      <c r="M4" s="109"/>
      <c r="N4" s="109"/>
      <c r="O4" s="109"/>
      <c r="P4" s="109"/>
      <c r="Q4" s="109"/>
      <c r="R4" s="109"/>
      <c r="S4" s="109"/>
      <c r="T4" s="107"/>
      <c r="U4" s="107"/>
      <c r="V4" s="107"/>
      <c r="W4" s="107"/>
      <c r="X4" s="107"/>
      <c r="Y4" s="107"/>
      <c r="Z4" s="110"/>
    </row>
    <row r="5" spans="1:26" ht="10.5" customHeight="1">
      <c r="A5" s="423"/>
      <c r="B5" s="423"/>
      <c r="C5" s="423"/>
      <c r="D5" s="423"/>
      <c r="E5" s="107"/>
      <c r="F5" s="227"/>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39.75" customHeight="1">
      <c r="A7" s="419" t="s">
        <v>384</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228"/>
      <c r="G9" s="94"/>
      <c r="H9" s="209"/>
      <c r="I9" s="94"/>
      <c r="J9" s="94"/>
      <c r="K9" s="94"/>
    </row>
    <row r="10" spans="1:26">
      <c r="A10" s="424" t="s">
        <v>414</v>
      </c>
      <c r="B10" s="424"/>
      <c r="C10" s="424"/>
      <c r="D10" s="424"/>
      <c r="E10" s="424"/>
      <c r="F10" s="424"/>
      <c r="G10" s="424"/>
      <c r="H10" s="424"/>
      <c r="I10" s="424"/>
      <c r="J10" s="424"/>
      <c r="K10" s="424"/>
    </row>
    <row r="11" spans="1:26" ht="77.25" customHeight="1">
      <c r="A11" s="433" t="s">
        <v>364</v>
      </c>
      <c r="B11" s="434"/>
      <c r="C11" s="434"/>
      <c r="D11" s="434"/>
      <c r="E11" s="434"/>
      <c r="F11" s="434"/>
      <c r="G11" s="434"/>
      <c r="H11" s="434"/>
      <c r="I11" s="434"/>
      <c r="J11" s="434"/>
      <c r="K11" s="434"/>
    </row>
    <row r="12" spans="1:26" ht="102" customHeight="1">
      <c r="A12" s="433" t="s">
        <v>386</v>
      </c>
      <c r="B12" s="434"/>
      <c r="C12" s="434"/>
      <c r="D12" s="434"/>
      <c r="E12" s="434"/>
      <c r="F12" s="434"/>
      <c r="G12" s="434"/>
      <c r="H12" s="434"/>
      <c r="I12" s="434"/>
      <c r="J12" s="434"/>
      <c r="K12" s="434"/>
    </row>
    <row r="13" spans="1:26" ht="101.25" customHeight="1">
      <c r="A13" s="433" t="s">
        <v>387</v>
      </c>
      <c r="B13" s="433"/>
      <c r="C13" s="433"/>
      <c r="D13" s="433"/>
      <c r="E13" s="433"/>
      <c r="F13" s="433"/>
      <c r="G13" s="433"/>
      <c r="H13" s="433"/>
      <c r="I13" s="433"/>
      <c r="J13" s="433"/>
      <c r="K13" s="433"/>
    </row>
    <row r="14" spans="1:26" ht="57.75" customHeight="1">
      <c r="A14" s="433" t="s">
        <v>478</v>
      </c>
      <c r="B14" s="434"/>
      <c r="C14" s="434"/>
      <c r="D14" s="434"/>
      <c r="E14" s="434"/>
      <c r="F14" s="434"/>
      <c r="G14" s="434"/>
      <c r="H14" s="434"/>
      <c r="I14" s="434"/>
      <c r="J14" s="434"/>
      <c r="K14" s="434"/>
    </row>
    <row r="15" spans="1:26" ht="59.25" customHeight="1">
      <c r="A15" s="433" t="s">
        <v>388</v>
      </c>
      <c r="B15" s="434"/>
      <c r="C15" s="434"/>
      <c r="D15" s="434"/>
      <c r="E15" s="434"/>
      <c r="F15" s="434"/>
      <c r="G15" s="434"/>
      <c r="H15" s="434"/>
      <c r="I15" s="434"/>
      <c r="J15" s="434"/>
      <c r="K15" s="434"/>
    </row>
    <row r="16" spans="1:26" ht="41.25" customHeight="1">
      <c r="A16" s="433" t="s">
        <v>389</v>
      </c>
      <c r="B16" s="434"/>
      <c r="C16" s="434"/>
      <c r="D16" s="434"/>
      <c r="E16" s="434"/>
      <c r="F16" s="434"/>
      <c r="G16" s="434"/>
      <c r="H16" s="434"/>
      <c r="I16" s="434"/>
      <c r="J16" s="434"/>
      <c r="K16" s="434"/>
    </row>
    <row r="17" spans="1:16" ht="41.25" customHeight="1">
      <c r="A17" s="433" t="s">
        <v>415</v>
      </c>
      <c r="B17" s="433"/>
      <c r="C17" s="433"/>
      <c r="D17" s="433"/>
      <c r="E17" s="433"/>
      <c r="F17" s="433"/>
      <c r="G17" s="433"/>
      <c r="H17" s="433"/>
      <c r="I17" s="433"/>
      <c r="J17" s="433"/>
      <c r="K17" s="433"/>
    </row>
    <row r="18" spans="1:16" ht="59.25" customHeight="1">
      <c r="A18" s="433" t="s">
        <v>416</v>
      </c>
      <c r="B18" s="434"/>
      <c r="C18" s="434"/>
      <c r="D18" s="434"/>
      <c r="E18" s="434"/>
      <c r="F18" s="434"/>
      <c r="G18" s="434"/>
      <c r="H18" s="434"/>
      <c r="I18" s="434"/>
      <c r="J18" s="434"/>
      <c r="K18" s="434"/>
    </row>
    <row r="19" spans="1:16">
      <c r="A19" s="433" t="s">
        <v>417</v>
      </c>
      <c r="B19" s="434"/>
      <c r="C19" s="434"/>
      <c r="D19" s="434"/>
      <c r="E19" s="434"/>
      <c r="F19" s="434"/>
      <c r="G19" s="434"/>
      <c r="H19" s="434"/>
      <c r="I19" s="434"/>
      <c r="J19" s="434"/>
      <c r="K19" s="434"/>
    </row>
    <row r="20" spans="1:16">
      <c r="A20" s="459" t="s">
        <v>418</v>
      </c>
      <c r="B20" s="459"/>
      <c r="C20" s="459"/>
      <c r="D20" s="459"/>
      <c r="E20" s="459"/>
      <c r="F20" s="459"/>
      <c r="G20" s="459"/>
      <c r="H20" s="459"/>
      <c r="I20" s="459"/>
      <c r="J20" s="459"/>
      <c r="K20" s="459"/>
    </row>
    <row r="21" spans="1:16">
      <c r="A21" s="414" t="s">
        <v>205</v>
      </c>
      <c r="B21" s="414"/>
      <c r="C21" s="414"/>
      <c r="D21" s="414"/>
      <c r="E21" s="414"/>
      <c r="F21" s="414"/>
      <c r="G21" s="414"/>
      <c r="H21" s="414"/>
      <c r="I21" s="48"/>
      <c r="J21" s="48"/>
      <c r="K21" s="48"/>
    </row>
    <row r="22" spans="1:16">
      <c r="A22" s="414" t="s">
        <v>419</v>
      </c>
      <c r="B22" s="414"/>
      <c r="C22" s="414"/>
      <c r="D22" s="414"/>
      <c r="E22" s="414"/>
      <c r="F22" s="414"/>
      <c r="G22" s="414"/>
      <c r="H22" s="414"/>
      <c r="I22" s="414"/>
      <c r="J22" s="414"/>
      <c r="K22" s="414"/>
    </row>
    <row r="23" spans="1:16" ht="24.75" customHeight="1">
      <c r="A23" s="414" t="s">
        <v>420</v>
      </c>
      <c r="B23" s="414"/>
      <c r="C23" s="414"/>
      <c r="D23" s="414"/>
      <c r="E23" s="414"/>
      <c r="F23" s="414"/>
      <c r="G23" s="414"/>
      <c r="H23" s="414"/>
      <c r="I23" s="414"/>
      <c r="J23" s="414"/>
      <c r="K23" s="414"/>
    </row>
    <row r="24" spans="1:16" ht="24.75" customHeight="1">
      <c r="A24" s="395" t="s">
        <v>421</v>
      </c>
      <c r="B24" s="395"/>
      <c r="C24" s="395"/>
      <c r="D24" s="395"/>
      <c r="E24" s="395"/>
      <c r="F24" s="395" t="s">
        <v>422</v>
      </c>
      <c r="G24" s="395"/>
      <c r="H24" s="395"/>
      <c r="I24" s="50"/>
      <c r="J24" s="50"/>
      <c r="K24" s="50"/>
    </row>
    <row r="25" spans="1:16" ht="24.75" customHeight="1">
      <c r="A25" s="395" t="s">
        <v>397</v>
      </c>
      <c r="B25" s="395"/>
      <c r="C25" s="395"/>
      <c r="D25" s="395"/>
      <c r="E25" s="395"/>
      <c r="F25" s="395"/>
      <c r="G25" s="395"/>
      <c r="H25" s="422" t="s">
        <v>119</v>
      </c>
      <c r="I25" s="422"/>
      <c r="J25" s="292" t="s">
        <v>423</v>
      </c>
      <c r="K25" s="50"/>
    </row>
    <row r="26" spans="1:16" ht="24.75" customHeight="1">
      <c r="A26" s="395" t="s">
        <v>399</v>
      </c>
      <c r="B26" s="395"/>
      <c r="C26" s="395"/>
      <c r="D26" s="395"/>
      <c r="E26" s="395"/>
      <c r="F26" s="395"/>
      <c r="G26" s="395"/>
      <c r="H26" s="395"/>
      <c r="I26" s="395"/>
      <c r="J26" s="395"/>
      <c r="K26" s="395"/>
    </row>
    <row r="27" spans="1:16" ht="24.75" customHeight="1">
      <c r="A27" s="395" t="s">
        <v>120</v>
      </c>
      <c r="B27" s="395"/>
      <c r="C27" s="395"/>
      <c r="D27" s="395"/>
      <c r="E27" s="395"/>
      <c r="F27" s="395"/>
      <c r="G27" s="395"/>
      <c r="H27" s="210">
        <v>7</v>
      </c>
      <c r="I27" s="395" t="s">
        <v>121</v>
      </c>
      <c r="J27" s="395"/>
      <c r="K27" s="50"/>
      <c r="L27" s="48"/>
      <c r="M27" s="48"/>
      <c r="O27" s="48"/>
      <c r="P27" s="48"/>
    </row>
    <row r="28" spans="1:16" ht="24.75" customHeight="1">
      <c r="A28" s="414" t="s">
        <v>424</v>
      </c>
      <c r="B28" s="414"/>
      <c r="C28" s="414"/>
      <c r="D28" s="414"/>
      <c r="E28" s="414"/>
      <c r="F28" s="414"/>
      <c r="G28" s="199"/>
      <c r="H28" s="211"/>
      <c r="I28" s="51"/>
      <c r="J28" s="51"/>
      <c r="K28" s="51"/>
    </row>
    <row r="29" spans="1:16" ht="38.25" customHeight="1">
      <c r="A29" s="394" t="s">
        <v>425</v>
      </c>
      <c r="B29" s="394"/>
      <c r="C29" s="394"/>
      <c r="D29" s="394"/>
      <c r="E29" s="394"/>
      <c r="F29" s="394"/>
      <c r="G29" s="394"/>
      <c r="H29" s="394"/>
      <c r="I29" s="394"/>
      <c r="J29" s="394"/>
      <c r="K29" s="394"/>
    </row>
    <row r="30" spans="1:16" s="115" customFormat="1" ht="71.25" customHeight="1">
      <c r="A30" s="426" t="s">
        <v>426</v>
      </c>
      <c r="B30" s="426"/>
      <c r="C30" s="426"/>
      <c r="D30" s="426"/>
      <c r="E30" s="426"/>
      <c r="F30" s="293">
        <v>2127.6</v>
      </c>
      <c r="G30" s="200" t="s">
        <v>427</v>
      </c>
      <c r="H30" s="212"/>
      <c r="I30" s="114"/>
      <c r="J30" s="114"/>
      <c r="K30" s="114"/>
    </row>
    <row r="31" spans="1:16">
      <c r="A31" s="395" t="s">
        <v>124</v>
      </c>
      <c r="B31" s="395"/>
      <c r="C31" s="395"/>
      <c r="D31" s="395"/>
      <c r="E31" s="395"/>
      <c r="F31" s="242">
        <v>93.6</v>
      </c>
      <c r="G31" s="47" t="s">
        <v>428</v>
      </c>
      <c r="H31" s="396" t="s">
        <v>125</v>
      </c>
      <c r="I31" s="396"/>
      <c r="J31" s="50"/>
      <c r="K31" s="50"/>
    </row>
    <row r="32" spans="1:16" s="120" customFormat="1" ht="40.5" customHeight="1">
      <c r="A32" s="117"/>
      <c r="B32" s="399" t="s">
        <v>126</v>
      </c>
      <c r="C32" s="399"/>
      <c r="D32" s="399"/>
      <c r="E32" s="118"/>
      <c r="F32" s="243">
        <v>25.1</v>
      </c>
      <c r="G32" s="190" t="s">
        <v>429</v>
      </c>
      <c r="H32" s="397" t="str">
        <f>"(Chiếm "&amp;L32&amp;"% Tổng diện tích đất nông nghiệp được giao đang sử dụng)"</f>
        <v>(Chiếm 1,18% Tổng diện tích đất nông nghiệp được giao đang sử dụng)</v>
      </c>
      <c r="I32" s="397"/>
      <c r="J32" s="397"/>
      <c r="K32" s="397"/>
      <c r="L32" s="120">
        <f>ROUND(F32/F30*100,2)</f>
        <v>1.18</v>
      </c>
    </row>
    <row r="33" spans="1:11" s="120" customFormat="1" ht="27.75" customHeight="1">
      <c r="A33" s="117"/>
      <c r="B33" s="399" t="s">
        <v>127</v>
      </c>
      <c r="C33" s="399"/>
      <c r="D33" s="399"/>
      <c r="E33" s="121"/>
      <c r="F33" s="243">
        <f>+F31-F32</f>
        <v>68.5</v>
      </c>
      <c r="G33" s="190" t="s">
        <v>429</v>
      </c>
      <c r="H33" s="213"/>
      <c r="I33" s="122"/>
      <c r="J33" s="122"/>
      <c r="K33" s="122"/>
    </row>
    <row r="34" spans="1:11" s="294" customFormat="1" ht="156.75" customHeight="1">
      <c r="A34" s="460" t="s">
        <v>479</v>
      </c>
      <c r="B34" s="460"/>
      <c r="C34" s="460"/>
      <c r="D34" s="460"/>
      <c r="E34" s="460"/>
      <c r="F34" s="460"/>
      <c r="G34" s="460"/>
      <c r="H34" s="460"/>
      <c r="I34" s="460"/>
      <c r="J34" s="460"/>
      <c r="K34" s="460"/>
    </row>
    <row r="35" spans="1:11" s="294" customFormat="1" ht="92.25" customHeight="1">
      <c r="A35" s="460" t="s">
        <v>480</v>
      </c>
      <c r="B35" s="460"/>
      <c r="C35" s="460"/>
      <c r="D35" s="460"/>
      <c r="E35" s="460"/>
      <c r="F35" s="460"/>
      <c r="G35" s="460"/>
      <c r="H35" s="460"/>
      <c r="I35" s="460"/>
      <c r="J35" s="460"/>
      <c r="K35" s="460"/>
    </row>
    <row r="36" spans="1:11" ht="24" customHeight="1">
      <c r="A36" s="414" t="s">
        <v>206</v>
      </c>
      <c r="B36" s="414"/>
      <c r="C36" s="414"/>
      <c r="D36" s="414"/>
      <c r="E36" s="414"/>
      <c r="F36" s="414"/>
      <c r="G36" s="414"/>
      <c r="H36" s="414"/>
      <c r="I36" s="414"/>
      <c r="J36" s="414"/>
      <c r="K36" s="414"/>
    </row>
    <row r="37" spans="1:11" s="48" customFormat="1">
      <c r="A37" s="427" t="s">
        <v>128</v>
      </c>
      <c r="B37" s="427"/>
      <c r="C37" s="427"/>
      <c r="D37" s="427"/>
      <c r="E37" s="52"/>
      <c r="F37" s="230"/>
      <c r="G37" s="201"/>
      <c r="H37" s="214"/>
      <c r="I37" s="52"/>
      <c r="J37" s="53"/>
      <c r="K37" s="52"/>
    </row>
    <row r="38" spans="1:11" s="47" customFormat="1" ht="75.75" customHeight="1">
      <c r="A38" s="95" t="s">
        <v>129</v>
      </c>
      <c r="B38" s="403" t="s">
        <v>12</v>
      </c>
      <c r="C38" s="428"/>
      <c r="D38" s="95" t="s">
        <v>130</v>
      </c>
      <c r="E38" s="95" t="s">
        <v>131</v>
      </c>
      <c r="F38" s="429" t="s">
        <v>477</v>
      </c>
      <c r="G38" s="430"/>
      <c r="H38" s="215" t="s">
        <v>132</v>
      </c>
      <c r="I38" s="95" t="s">
        <v>133</v>
      </c>
      <c r="J38" s="96" t="s">
        <v>134</v>
      </c>
      <c r="K38" s="95" t="s">
        <v>6</v>
      </c>
    </row>
    <row r="39" spans="1:11" s="52" customFormat="1" ht="33" customHeight="1">
      <c r="A39" s="70">
        <v>1</v>
      </c>
      <c r="B39" s="431" t="s">
        <v>352</v>
      </c>
      <c r="C39" s="432"/>
      <c r="D39" s="65" t="s">
        <v>427</v>
      </c>
      <c r="E39" s="123">
        <f>F32</f>
        <v>25.1</v>
      </c>
      <c r="F39" s="392">
        <v>155000</v>
      </c>
      <c r="G39" s="393"/>
      <c r="H39" s="216"/>
      <c r="I39" s="67">
        <v>1</v>
      </c>
      <c r="J39" s="71">
        <f>ROUND(E39*F39*I39,20)</f>
        <v>3890500</v>
      </c>
      <c r="K39" s="70"/>
    </row>
    <row r="40" spans="1:11" s="128" customFormat="1" ht="26.25" customHeight="1">
      <c r="A40" s="405" t="s">
        <v>136</v>
      </c>
      <c r="B40" s="405"/>
      <c r="C40" s="405"/>
      <c r="D40" s="405"/>
      <c r="E40" s="124">
        <f>SUM(E39:E39)</f>
        <v>25.1</v>
      </c>
      <c r="F40" s="405"/>
      <c r="G40" s="405"/>
      <c r="H40" s="217"/>
      <c r="I40" s="125"/>
      <c r="J40" s="126">
        <f>SUM(J39:J39)</f>
        <v>3890500</v>
      </c>
      <c r="K40" s="127"/>
    </row>
    <row r="41" spans="1:11" s="47" customFormat="1" ht="12" customHeight="1">
      <c r="A41" s="448"/>
      <c r="B41" s="448"/>
      <c r="C41" s="448"/>
      <c r="D41" s="448"/>
      <c r="E41" s="448"/>
      <c r="F41" s="448"/>
      <c r="G41" s="448"/>
      <c r="H41" s="448"/>
      <c r="I41" s="448"/>
      <c r="J41" s="448"/>
      <c r="K41" s="448"/>
    </row>
    <row r="42" spans="1:11" s="129" customFormat="1" ht="27" customHeight="1">
      <c r="A42" s="407" t="s">
        <v>137</v>
      </c>
      <c r="B42" s="407"/>
      <c r="C42" s="407"/>
      <c r="D42" s="407"/>
      <c r="E42" s="407"/>
      <c r="F42" s="407"/>
      <c r="G42" s="407"/>
      <c r="H42" s="407"/>
      <c r="I42" s="407"/>
      <c r="J42" s="407"/>
      <c r="K42" s="407"/>
    </row>
    <row r="43" spans="1:11" s="130" customFormat="1" ht="43.5" customHeight="1">
      <c r="A43" s="95" t="s">
        <v>138</v>
      </c>
      <c r="B43" s="408" t="s">
        <v>430</v>
      </c>
      <c r="C43" s="409"/>
      <c r="D43" s="409"/>
      <c r="E43" s="409"/>
      <c r="F43" s="409"/>
      <c r="G43" s="409"/>
      <c r="H43" s="409"/>
      <c r="I43" s="409"/>
      <c r="J43" s="409"/>
      <c r="K43" s="410"/>
    </row>
    <row r="44" spans="1:11" ht="23.25" customHeight="1">
      <c r="A44" s="403" t="s">
        <v>129</v>
      </c>
      <c r="B44" s="403" t="s">
        <v>140</v>
      </c>
      <c r="C44" s="403" t="s">
        <v>141</v>
      </c>
      <c r="D44" s="403" t="s">
        <v>142</v>
      </c>
      <c r="E44" s="403"/>
      <c r="F44" s="403"/>
      <c r="G44" s="403" t="s">
        <v>143</v>
      </c>
      <c r="H44" s="330" t="s">
        <v>144</v>
      </c>
      <c r="I44" s="403" t="s">
        <v>133</v>
      </c>
      <c r="J44" s="404" t="s">
        <v>134</v>
      </c>
      <c r="K44" s="403" t="s">
        <v>6</v>
      </c>
    </row>
    <row r="45" spans="1:11" ht="36" customHeight="1">
      <c r="A45" s="403"/>
      <c r="B45" s="403"/>
      <c r="C45" s="403"/>
      <c r="D45" s="54" t="s">
        <v>145</v>
      </c>
      <c r="E45" s="54" t="s">
        <v>146</v>
      </c>
      <c r="F45" s="231" t="s">
        <v>165</v>
      </c>
      <c r="G45" s="403"/>
      <c r="H45" s="330"/>
      <c r="I45" s="403"/>
      <c r="J45" s="404"/>
      <c r="K45" s="403"/>
    </row>
    <row r="46" spans="1:11" ht="56.25">
      <c r="A46" s="70">
        <v>1</v>
      </c>
      <c r="B46" s="224" t="s">
        <v>431</v>
      </c>
      <c r="C46" s="70" t="s">
        <v>427</v>
      </c>
      <c r="D46" s="295">
        <v>0.6</v>
      </c>
      <c r="E46" s="295">
        <v>1</v>
      </c>
      <c r="F46" s="296"/>
      <c r="G46" s="236">
        <f>ROUND(D46*E46*F46,2)</f>
        <v>0</v>
      </c>
      <c r="H46" s="223">
        <v>2383200</v>
      </c>
      <c r="I46" s="238">
        <v>0</v>
      </c>
      <c r="J46" s="252">
        <f>ROUND(G46*H46*I46,2)</f>
        <v>0</v>
      </c>
      <c r="K46" s="70"/>
    </row>
    <row r="47" spans="1:11">
      <c r="A47" s="70">
        <v>2</v>
      </c>
      <c r="B47" s="224" t="s">
        <v>432</v>
      </c>
      <c r="C47" s="70" t="s">
        <v>427</v>
      </c>
      <c r="D47" s="295">
        <v>4</v>
      </c>
      <c r="E47" s="295">
        <v>6.8</v>
      </c>
      <c r="F47" s="232"/>
      <c r="G47" s="236">
        <f t="shared" ref="G47:G48" si="0">ROUND(D47*E47,2)</f>
        <v>27.2</v>
      </c>
      <c r="H47" s="223">
        <v>463300</v>
      </c>
      <c r="I47" s="238">
        <v>0</v>
      </c>
      <c r="J47" s="252">
        <f t="shared" ref="J47:J48" si="1">ROUND(G47*H47*I47,2)</f>
        <v>0</v>
      </c>
      <c r="K47" s="70"/>
    </row>
    <row r="48" spans="1:11" ht="56.25">
      <c r="A48" s="70">
        <v>3</v>
      </c>
      <c r="B48" s="224" t="s">
        <v>433</v>
      </c>
      <c r="C48" s="70" t="s">
        <v>427</v>
      </c>
      <c r="D48" s="295">
        <v>1.4</v>
      </c>
      <c r="E48" s="295">
        <v>6.8</v>
      </c>
      <c r="F48" s="232"/>
      <c r="G48" s="236">
        <f t="shared" si="0"/>
        <v>9.52</v>
      </c>
      <c r="H48" s="223">
        <v>463300</v>
      </c>
      <c r="I48" s="238">
        <v>0</v>
      </c>
      <c r="J48" s="252">
        <f t="shared" si="1"/>
        <v>0</v>
      </c>
      <c r="K48" s="70"/>
    </row>
    <row r="49" spans="1:15" s="69" customFormat="1" ht="19.5">
      <c r="A49" s="440" t="s">
        <v>147</v>
      </c>
      <c r="B49" s="440"/>
      <c r="C49" s="440"/>
      <c r="D49" s="131"/>
      <c r="E49" s="132"/>
      <c r="F49" s="233"/>
      <c r="G49" s="202"/>
      <c r="H49" s="218"/>
      <c r="I49" s="58"/>
      <c r="J49" s="134">
        <v>0</v>
      </c>
      <c r="K49" s="135"/>
    </row>
    <row r="50" spans="1:15" s="69" customFormat="1" ht="28.5" customHeight="1">
      <c r="A50" s="95" t="s">
        <v>148</v>
      </c>
      <c r="B50" s="408" t="s">
        <v>406</v>
      </c>
      <c r="C50" s="409"/>
      <c r="D50" s="409"/>
      <c r="E50" s="409"/>
      <c r="F50" s="409"/>
      <c r="G50" s="409"/>
      <c r="H50" s="409"/>
      <c r="I50" s="409"/>
      <c r="J50" s="409"/>
      <c r="K50" s="410"/>
    </row>
    <row r="51" spans="1:15" s="69" customFormat="1" ht="61.5" customHeight="1">
      <c r="A51" s="56" t="s">
        <v>129</v>
      </c>
      <c r="B51" s="56" t="s">
        <v>149</v>
      </c>
      <c r="C51" s="56" t="s">
        <v>141</v>
      </c>
      <c r="D51" s="415" t="s">
        <v>150</v>
      </c>
      <c r="E51" s="416"/>
      <c r="F51" s="417"/>
      <c r="G51" s="57" t="s">
        <v>151</v>
      </c>
      <c r="H51" s="219" t="s">
        <v>144</v>
      </c>
      <c r="I51" s="58" t="s">
        <v>133</v>
      </c>
      <c r="J51" s="59" t="s">
        <v>134</v>
      </c>
      <c r="K51" s="56" t="s">
        <v>6</v>
      </c>
    </row>
    <row r="52" spans="1:15" s="47" customFormat="1">
      <c r="A52" s="403" t="s">
        <v>147</v>
      </c>
      <c r="B52" s="403"/>
      <c r="C52" s="403"/>
      <c r="D52" s="403"/>
      <c r="E52" s="403"/>
      <c r="F52" s="403"/>
      <c r="G52" s="95"/>
      <c r="H52" s="217"/>
      <c r="I52" s="137"/>
      <c r="J52" s="138">
        <v>0</v>
      </c>
      <c r="K52" s="70"/>
    </row>
    <row r="53" spans="1:15" s="47" customFormat="1">
      <c r="A53" s="403" t="s">
        <v>152</v>
      </c>
      <c r="B53" s="403"/>
      <c r="C53" s="403"/>
      <c r="D53" s="403"/>
      <c r="E53" s="403"/>
      <c r="F53" s="403"/>
      <c r="G53" s="403"/>
      <c r="H53" s="403"/>
      <c r="I53" s="403"/>
      <c r="J53" s="138">
        <f>J52+J49</f>
        <v>0</v>
      </c>
      <c r="K53" s="70"/>
    </row>
    <row r="54" spans="1:15" ht="24.95" customHeight="1">
      <c r="A54" s="414" t="s">
        <v>153</v>
      </c>
      <c r="B54" s="414"/>
      <c r="C54" s="414"/>
    </row>
    <row r="55" spans="1:15" ht="60.75" customHeight="1">
      <c r="A55" s="95" t="s">
        <v>129</v>
      </c>
      <c r="B55" s="415" t="s">
        <v>154</v>
      </c>
      <c r="C55" s="416"/>
      <c r="D55" s="416"/>
      <c r="E55" s="417"/>
      <c r="F55" s="235" t="s">
        <v>130</v>
      </c>
      <c r="G55" s="95" t="s">
        <v>151</v>
      </c>
      <c r="H55" s="222" t="s">
        <v>144</v>
      </c>
      <c r="I55" s="61" t="s">
        <v>434</v>
      </c>
      <c r="J55" s="96" t="s">
        <v>134</v>
      </c>
      <c r="K55" s="95" t="s">
        <v>6</v>
      </c>
    </row>
    <row r="56" spans="1:15" ht="96" customHeight="1">
      <c r="A56" s="70">
        <v>1</v>
      </c>
      <c r="B56" s="439" t="s">
        <v>156</v>
      </c>
      <c r="C56" s="439"/>
      <c r="D56" s="439"/>
      <c r="E56" s="439"/>
      <c r="F56" s="236" t="s">
        <v>427</v>
      </c>
      <c r="G56" s="139">
        <f>F32</f>
        <v>25.1</v>
      </c>
      <c r="H56" s="223">
        <f>155000*5</f>
        <v>775000</v>
      </c>
      <c r="I56" s="67">
        <v>1</v>
      </c>
      <c r="J56" s="136">
        <f t="shared" ref="J56" si="2">ROUND(G56*H56*I56,2)</f>
        <v>19452500</v>
      </c>
      <c r="K56" s="62" t="s">
        <v>157</v>
      </c>
    </row>
    <row r="57" spans="1:15" ht="75">
      <c r="A57" s="70">
        <v>2</v>
      </c>
      <c r="B57" s="439" t="s">
        <v>435</v>
      </c>
      <c r="C57" s="439"/>
      <c r="D57" s="439"/>
      <c r="E57" s="439"/>
      <c r="F57" s="236" t="s">
        <v>158</v>
      </c>
      <c r="G57" s="297">
        <f>H27</f>
        <v>7</v>
      </c>
      <c r="H57" s="298">
        <f>30*16000</f>
        <v>480000</v>
      </c>
      <c r="I57" s="297">
        <v>1</v>
      </c>
      <c r="J57" s="140">
        <f>ROUND(G57*H57*I57,2)</f>
        <v>3360000</v>
      </c>
      <c r="K57" s="299" t="str">
        <f>IF(N60&lt;10,"Thu hồi dưới 10% hỗ trợ 01 tháng",IF(N60&lt;20,"Thu hồi từ 10% dến dưới 20% hỗ trợ 02 tháng",IF(N60&lt;30,"Thu hồi từ 20% đến dưới 30% hỗ trợ 03 tháng",IF(N60&lt;=70,"Thu hồi từ 30% đến 70% hỗ trợ 06 tháng","Thu hồi trên 70% hỗ trợ 12 tháng"))))</f>
        <v>Thu hồi dưới 10% hỗ trợ 01 tháng</v>
      </c>
    </row>
    <row r="58" spans="1:15" s="47" customFormat="1" ht="83.25" customHeight="1">
      <c r="A58" s="70">
        <v>3</v>
      </c>
      <c r="B58" s="439" t="s">
        <v>436</v>
      </c>
      <c r="C58" s="439"/>
      <c r="D58" s="439"/>
      <c r="E58" s="439"/>
      <c r="F58" s="236" t="s">
        <v>427</v>
      </c>
      <c r="G58" s="141">
        <f>F32</f>
        <v>25.1</v>
      </c>
      <c r="H58" s="223">
        <v>3000</v>
      </c>
      <c r="I58" s="67">
        <v>1</v>
      </c>
      <c r="J58" s="140">
        <f>IF(G58*H58*I58&gt;=3000000,3000000,G58*H58*I58)</f>
        <v>75300</v>
      </c>
      <c r="K58" s="65"/>
    </row>
    <row r="59" spans="1:15" ht="22.5" customHeight="1">
      <c r="A59" s="403" t="s">
        <v>136</v>
      </c>
      <c r="B59" s="403"/>
      <c r="C59" s="403"/>
      <c r="D59" s="403"/>
      <c r="E59" s="403"/>
      <c r="F59" s="403"/>
      <c r="G59" s="403"/>
      <c r="H59" s="403"/>
      <c r="I59" s="403"/>
      <c r="J59" s="138">
        <f>SUM(J56:J58)</f>
        <v>22887800</v>
      </c>
      <c r="K59" s="66"/>
    </row>
    <row r="60" spans="1:15">
      <c r="A60" s="438" t="s">
        <v>160</v>
      </c>
      <c r="B60" s="438"/>
      <c r="C60" s="438"/>
      <c r="D60" s="438"/>
      <c r="E60" s="438"/>
      <c r="F60" s="438"/>
      <c r="G60" s="435">
        <f>J40+J53+J59</f>
        <v>26778300</v>
      </c>
      <c r="H60" s="435"/>
      <c r="I60" s="142" t="s">
        <v>161</v>
      </c>
      <c r="K60" s="128"/>
      <c r="N60" s="64">
        <f>ROUND(F32/F30%,2)</f>
        <v>1.18</v>
      </c>
      <c r="O60" s="143">
        <f>H27</f>
        <v>7</v>
      </c>
    </row>
    <row r="61" spans="1:15" ht="24.75" customHeight="1">
      <c r="B61" s="105" t="s">
        <v>178</v>
      </c>
      <c r="C61" s="436" t="str">
        <f>[1]!VND(G60)</f>
        <v>Hai mươi sáu triệu, bảy trăm bảy mươi tám nghìn, ba trăm đồng chẵn.</v>
      </c>
      <c r="D61" s="436"/>
      <c r="E61" s="436"/>
      <c r="F61" s="436"/>
      <c r="G61" s="436"/>
      <c r="H61" s="436"/>
      <c r="I61" s="436"/>
      <c r="J61" s="436"/>
      <c r="K61" s="436"/>
    </row>
    <row r="62" spans="1:15" s="128" customFormat="1" ht="2.25" hidden="1" customHeight="1">
      <c r="A62" s="47"/>
      <c r="B62" s="49"/>
      <c r="C62" s="49"/>
      <c r="D62" s="49"/>
      <c r="E62" s="49"/>
      <c r="F62" s="234"/>
      <c r="G62" s="203"/>
      <c r="H62" s="221"/>
      <c r="I62" s="49"/>
      <c r="J62" s="60"/>
      <c r="K62" s="49"/>
    </row>
    <row r="63" spans="1:15" s="128" customFormat="1">
      <c r="A63" s="47"/>
      <c r="B63" s="49"/>
      <c r="C63" s="49"/>
      <c r="D63" s="49"/>
      <c r="E63" s="49"/>
      <c r="F63" s="234"/>
      <c r="G63" s="203"/>
      <c r="H63" s="221"/>
      <c r="I63" s="49"/>
      <c r="J63" s="60"/>
      <c r="K63" s="49"/>
    </row>
  </sheetData>
  <mergeCells count="76">
    <mergeCell ref="A1:D1"/>
    <mergeCell ref="E1:K1"/>
    <mergeCell ref="A2:D2"/>
    <mergeCell ref="E2:K2"/>
    <mergeCell ref="A4:D4"/>
    <mergeCell ref="H4:K4"/>
    <mergeCell ref="A18:K18"/>
    <mergeCell ref="A5:D5"/>
    <mergeCell ref="B6:K6"/>
    <mergeCell ref="A7:K7"/>
    <mergeCell ref="A8:K8"/>
    <mergeCell ref="A10:K10"/>
    <mergeCell ref="A11:K11"/>
    <mergeCell ref="A14:K14"/>
    <mergeCell ref="A12:K12"/>
    <mergeCell ref="A13:K13"/>
    <mergeCell ref="A15:K15"/>
    <mergeCell ref="A16:K16"/>
    <mergeCell ref="A17:K17"/>
    <mergeCell ref="A28:F28"/>
    <mergeCell ref="A19:K19"/>
    <mergeCell ref="A20:K20"/>
    <mergeCell ref="A21:H21"/>
    <mergeCell ref="A22:K22"/>
    <mergeCell ref="A23:K23"/>
    <mergeCell ref="A24:E24"/>
    <mergeCell ref="F24:H24"/>
    <mergeCell ref="A25:G25"/>
    <mergeCell ref="H25:I25"/>
    <mergeCell ref="A26:K26"/>
    <mergeCell ref="A27:G27"/>
    <mergeCell ref="I27:J27"/>
    <mergeCell ref="A29:K29"/>
    <mergeCell ref="A30:E30"/>
    <mergeCell ref="A31:E31"/>
    <mergeCell ref="H31:I31"/>
    <mergeCell ref="B32:D32"/>
    <mergeCell ref="H32:K32"/>
    <mergeCell ref="A42:K42"/>
    <mergeCell ref="B33:D33"/>
    <mergeCell ref="A35:K35"/>
    <mergeCell ref="A36:K36"/>
    <mergeCell ref="A37:D37"/>
    <mergeCell ref="B38:C38"/>
    <mergeCell ref="F38:G38"/>
    <mergeCell ref="A34:K34"/>
    <mergeCell ref="B39:C39"/>
    <mergeCell ref="F39:G39"/>
    <mergeCell ref="A40:D40"/>
    <mergeCell ref="F40:G40"/>
    <mergeCell ref="A41:K41"/>
    <mergeCell ref="A53:I53"/>
    <mergeCell ref="B43:K43"/>
    <mergeCell ref="A44:A45"/>
    <mergeCell ref="B44:B45"/>
    <mergeCell ref="C44:C45"/>
    <mergeCell ref="D44:F44"/>
    <mergeCell ref="G44:G45"/>
    <mergeCell ref="H44:H45"/>
    <mergeCell ref="I44:I45"/>
    <mergeCell ref="J44:J45"/>
    <mergeCell ref="K44:K45"/>
    <mergeCell ref="A49:C49"/>
    <mergeCell ref="B50:K50"/>
    <mergeCell ref="D51:F51"/>
    <mergeCell ref="A52:C52"/>
    <mergeCell ref="D52:F52"/>
    <mergeCell ref="A60:F60"/>
    <mergeCell ref="G60:H60"/>
    <mergeCell ref="C61:K61"/>
    <mergeCell ref="A54:C54"/>
    <mergeCell ref="B55:E55"/>
    <mergeCell ref="B56:E56"/>
    <mergeCell ref="B57:E57"/>
    <mergeCell ref="B58:E58"/>
    <mergeCell ref="A59:I59"/>
  </mergeCells>
  <printOptions horizontalCentered="1"/>
  <pageMargins left="0.354329615048119" right="0.19684930008748908" top="0.31496062992125984" bottom="0.27558945756780401" header="0.31496062992125984" footer="0.15748031496062992"/>
  <pageSetup paperSize="9" scale="64"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61"/>
  <sheetViews>
    <sheetView view="pageBreakPreview" zoomScale="77" zoomScaleNormal="100" zoomScaleSheetLayoutView="77" workbookViewId="0">
      <selection activeCell="A11" sqref="A11:K11"/>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1.25" style="234" customWidth="1"/>
    <col min="7" max="7" width="11.25" style="203" customWidth="1"/>
    <col min="8" max="8" width="13.375" style="221" bestFit="1" customWidth="1"/>
    <col min="9" max="9" width="9.375" style="49" customWidth="1"/>
    <col min="10" max="10" width="17.625" style="60" customWidth="1"/>
    <col min="11" max="11" width="12.375" style="49" customWidth="1"/>
    <col min="12" max="12" width="8.125" style="49" customWidth="1"/>
    <col min="13" max="13" width="15.375" style="49" customWidth="1"/>
    <col min="14" max="14" width="9.75" style="49" customWidth="1"/>
    <col min="15" max="15" width="9" style="49"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226"/>
      <c r="G3" s="46"/>
      <c r="H3" s="207"/>
      <c r="I3" s="46"/>
      <c r="J3" s="46"/>
      <c r="K3" s="46"/>
    </row>
    <row r="4" spans="1:26" ht="16.5" customHeight="1">
      <c r="A4" s="420" t="s">
        <v>469</v>
      </c>
      <c r="B4" s="420"/>
      <c r="C4" s="420"/>
      <c r="D4" s="420"/>
      <c r="E4" s="107"/>
      <c r="F4" s="227"/>
      <c r="G4" s="198"/>
      <c r="H4" s="421"/>
      <c r="I4" s="421"/>
      <c r="J4" s="421"/>
      <c r="K4" s="421"/>
      <c r="L4" s="109"/>
      <c r="M4" s="109"/>
      <c r="N4" s="109"/>
      <c r="O4" s="109"/>
      <c r="P4" s="109"/>
      <c r="Q4" s="109"/>
      <c r="R4" s="109"/>
      <c r="S4" s="109"/>
      <c r="T4" s="107"/>
      <c r="U4" s="107"/>
      <c r="V4" s="107"/>
      <c r="W4" s="107"/>
      <c r="X4" s="107"/>
      <c r="Y4" s="107"/>
      <c r="Z4" s="110"/>
    </row>
    <row r="5" spans="1:26" ht="11.25" customHeight="1">
      <c r="A5" s="423"/>
      <c r="B5" s="423"/>
      <c r="C5" s="423"/>
      <c r="D5" s="423"/>
      <c r="E5" s="107"/>
      <c r="F5" s="227"/>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384</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228"/>
      <c r="G9" s="94"/>
      <c r="H9" s="209"/>
      <c r="I9" s="94"/>
      <c r="J9" s="94"/>
      <c r="K9" s="94"/>
    </row>
    <row r="10" spans="1:26">
      <c r="A10" s="424" t="s">
        <v>414</v>
      </c>
      <c r="B10" s="424"/>
      <c r="C10" s="424"/>
      <c r="D10" s="424"/>
      <c r="E10" s="424"/>
      <c r="F10" s="424"/>
      <c r="G10" s="424"/>
      <c r="H10" s="424"/>
      <c r="I10" s="424"/>
      <c r="J10" s="424"/>
      <c r="K10" s="424"/>
    </row>
    <row r="11" spans="1:26" ht="77.25" customHeight="1">
      <c r="A11" s="433" t="s">
        <v>364</v>
      </c>
      <c r="B11" s="434"/>
      <c r="C11" s="434"/>
      <c r="D11" s="434"/>
      <c r="E11" s="434"/>
      <c r="F11" s="434"/>
      <c r="G11" s="434"/>
      <c r="H11" s="434"/>
      <c r="I11" s="434"/>
      <c r="J11" s="434"/>
      <c r="K11" s="434"/>
    </row>
    <row r="12" spans="1:26" ht="92.25" customHeight="1">
      <c r="A12" s="433" t="s">
        <v>386</v>
      </c>
      <c r="B12" s="434"/>
      <c r="C12" s="434"/>
      <c r="D12" s="434"/>
      <c r="E12" s="434"/>
      <c r="F12" s="434"/>
      <c r="G12" s="434"/>
      <c r="H12" s="434"/>
      <c r="I12" s="434"/>
      <c r="J12" s="434"/>
      <c r="K12" s="434"/>
    </row>
    <row r="13" spans="1:26" ht="99" customHeight="1">
      <c r="A13" s="433" t="s">
        <v>387</v>
      </c>
      <c r="B13" s="433"/>
      <c r="C13" s="433"/>
      <c r="D13" s="433"/>
      <c r="E13" s="433"/>
      <c r="F13" s="433"/>
      <c r="G13" s="433"/>
      <c r="H13" s="433"/>
      <c r="I13" s="433"/>
      <c r="J13" s="433"/>
      <c r="K13" s="433"/>
    </row>
    <row r="14" spans="1:26" ht="57.75" customHeight="1">
      <c r="A14" s="433" t="s">
        <v>478</v>
      </c>
      <c r="B14" s="434"/>
      <c r="C14" s="434"/>
      <c r="D14" s="434"/>
      <c r="E14" s="434"/>
      <c r="F14" s="434"/>
      <c r="G14" s="434"/>
      <c r="H14" s="434"/>
      <c r="I14" s="434"/>
      <c r="J14" s="434"/>
      <c r="K14" s="434"/>
    </row>
    <row r="15" spans="1:26" ht="57.75" customHeight="1">
      <c r="A15" s="433" t="s">
        <v>388</v>
      </c>
      <c r="B15" s="434"/>
      <c r="C15" s="434"/>
      <c r="D15" s="434"/>
      <c r="E15" s="434"/>
      <c r="F15" s="434"/>
      <c r="G15" s="434"/>
      <c r="H15" s="434"/>
      <c r="I15" s="434"/>
      <c r="J15" s="434"/>
      <c r="K15" s="434"/>
    </row>
    <row r="16" spans="1:26" ht="39" customHeight="1">
      <c r="A16" s="433" t="s">
        <v>389</v>
      </c>
      <c r="B16" s="434"/>
      <c r="C16" s="434"/>
      <c r="D16" s="434"/>
      <c r="E16" s="434"/>
      <c r="F16" s="434"/>
      <c r="G16" s="434"/>
      <c r="H16" s="434"/>
      <c r="I16" s="434"/>
      <c r="J16" s="434"/>
      <c r="K16" s="434"/>
    </row>
    <row r="17" spans="1:16" ht="41.25" customHeight="1">
      <c r="A17" s="433" t="s">
        <v>415</v>
      </c>
      <c r="B17" s="433"/>
      <c r="C17" s="433"/>
      <c r="D17" s="433"/>
      <c r="E17" s="433"/>
      <c r="F17" s="433"/>
      <c r="G17" s="433"/>
      <c r="H17" s="433"/>
      <c r="I17" s="433"/>
      <c r="J17" s="433"/>
      <c r="K17" s="433"/>
    </row>
    <row r="18" spans="1:16" ht="57" customHeight="1">
      <c r="A18" s="433" t="s">
        <v>416</v>
      </c>
      <c r="B18" s="434"/>
      <c r="C18" s="434"/>
      <c r="D18" s="434"/>
      <c r="E18" s="434"/>
      <c r="F18" s="434"/>
      <c r="G18" s="434"/>
      <c r="H18" s="434"/>
      <c r="I18" s="434"/>
      <c r="J18" s="434"/>
      <c r="K18" s="434"/>
    </row>
    <row r="19" spans="1:16" ht="24.75" customHeight="1">
      <c r="A19" s="433" t="s">
        <v>437</v>
      </c>
      <c r="B19" s="434"/>
      <c r="C19" s="434"/>
      <c r="D19" s="434"/>
      <c r="E19" s="434"/>
      <c r="F19" s="434"/>
      <c r="G19" s="434"/>
      <c r="H19" s="434"/>
      <c r="I19" s="434"/>
      <c r="J19" s="434"/>
      <c r="K19" s="434"/>
    </row>
    <row r="20" spans="1:16" ht="25.5" customHeight="1">
      <c r="A20" s="459" t="s">
        <v>418</v>
      </c>
      <c r="B20" s="459"/>
      <c r="C20" s="459"/>
      <c r="D20" s="459"/>
      <c r="E20" s="459"/>
      <c r="F20" s="459"/>
      <c r="G20" s="459"/>
      <c r="H20" s="459"/>
      <c r="I20" s="459"/>
      <c r="J20" s="459"/>
      <c r="K20" s="459"/>
    </row>
    <row r="21" spans="1:16">
      <c r="A21" s="414" t="s">
        <v>205</v>
      </c>
      <c r="B21" s="414"/>
      <c r="C21" s="414"/>
      <c r="D21" s="414"/>
      <c r="E21" s="414"/>
      <c r="F21" s="414"/>
      <c r="G21" s="414"/>
      <c r="H21" s="414"/>
      <c r="I21" s="48"/>
      <c r="J21" s="48"/>
      <c r="K21" s="48"/>
    </row>
    <row r="22" spans="1:16">
      <c r="A22" s="414" t="s">
        <v>438</v>
      </c>
      <c r="B22" s="414"/>
      <c r="C22" s="414"/>
      <c r="D22" s="414"/>
      <c r="E22" s="414"/>
      <c r="F22" s="414"/>
      <c r="G22" s="414"/>
      <c r="H22" s="414"/>
      <c r="I22" s="414"/>
      <c r="J22" s="414"/>
      <c r="K22" s="414"/>
    </row>
    <row r="23" spans="1:16">
      <c r="A23" s="414" t="s">
        <v>439</v>
      </c>
      <c r="B23" s="414"/>
      <c r="C23" s="414"/>
      <c r="D23" s="414"/>
      <c r="E23" s="414"/>
      <c r="F23" s="414"/>
      <c r="G23" s="414"/>
      <c r="H23" s="414"/>
      <c r="I23" s="414"/>
      <c r="J23" s="414"/>
      <c r="K23" s="414"/>
    </row>
    <row r="24" spans="1:16" ht="21" customHeight="1">
      <c r="A24" s="395" t="s">
        <v>440</v>
      </c>
      <c r="B24" s="395"/>
      <c r="C24" s="395"/>
      <c r="D24" s="395"/>
      <c r="E24" s="395"/>
      <c r="F24" s="395" t="s">
        <v>422</v>
      </c>
      <c r="G24" s="395"/>
      <c r="H24" s="395"/>
      <c r="I24" s="50"/>
      <c r="J24" s="50"/>
      <c r="K24" s="50"/>
    </row>
    <row r="25" spans="1:16" ht="42.75" customHeight="1">
      <c r="A25" s="395" t="s">
        <v>441</v>
      </c>
      <c r="B25" s="395"/>
      <c r="C25" s="395"/>
      <c r="D25" s="395"/>
      <c r="E25" s="395"/>
      <c r="F25" s="395"/>
      <c r="G25" s="395"/>
      <c r="H25" s="422" t="s">
        <v>119</v>
      </c>
      <c r="I25" s="422"/>
      <c r="J25" s="292"/>
      <c r="K25" s="50"/>
    </row>
    <row r="26" spans="1:16" ht="20.25" customHeight="1">
      <c r="A26" s="395" t="s">
        <v>442</v>
      </c>
      <c r="B26" s="395"/>
      <c r="C26" s="395"/>
      <c r="D26" s="395"/>
      <c r="E26" s="395"/>
      <c r="F26" s="395"/>
      <c r="G26" s="395"/>
      <c r="H26" s="395"/>
      <c r="I26" s="395"/>
      <c r="J26" s="395"/>
      <c r="K26" s="395"/>
    </row>
    <row r="27" spans="1:16" ht="20.25" customHeight="1">
      <c r="A27" s="395" t="s">
        <v>120</v>
      </c>
      <c r="B27" s="395"/>
      <c r="C27" s="395"/>
      <c r="D27" s="395"/>
      <c r="E27" s="395"/>
      <c r="F27" s="395"/>
      <c r="G27" s="395"/>
      <c r="H27" s="210">
        <v>4</v>
      </c>
      <c r="I27" s="395" t="s">
        <v>121</v>
      </c>
      <c r="J27" s="395"/>
      <c r="K27" s="50"/>
      <c r="L27" s="48"/>
      <c r="M27" s="48"/>
      <c r="O27" s="48"/>
      <c r="P27" s="48"/>
    </row>
    <row r="28" spans="1:16">
      <c r="A28" s="414" t="s">
        <v>424</v>
      </c>
      <c r="B28" s="414"/>
      <c r="C28" s="414"/>
      <c r="D28" s="414"/>
      <c r="E28" s="414"/>
      <c r="F28" s="414"/>
      <c r="G28" s="199"/>
      <c r="H28" s="211"/>
      <c r="I28" s="51"/>
      <c r="J28" s="51"/>
      <c r="K28" s="51"/>
    </row>
    <row r="29" spans="1:16" ht="38.25" customHeight="1">
      <c r="A29" s="394" t="s">
        <v>443</v>
      </c>
      <c r="B29" s="394"/>
      <c r="C29" s="394"/>
      <c r="D29" s="394"/>
      <c r="E29" s="394"/>
      <c r="F29" s="394"/>
      <c r="G29" s="394"/>
      <c r="H29" s="394"/>
      <c r="I29" s="394"/>
      <c r="J29" s="394"/>
      <c r="K29" s="394"/>
    </row>
    <row r="30" spans="1:16" s="115" customFormat="1" ht="60.75" customHeight="1">
      <c r="A30" s="426" t="s">
        <v>444</v>
      </c>
      <c r="B30" s="426"/>
      <c r="C30" s="426"/>
      <c r="D30" s="426"/>
      <c r="E30" s="426"/>
      <c r="F30" s="293">
        <v>1470</v>
      </c>
      <c r="G30" s="200" t="s">
        <v>427</v>
      </c>
      <c r="H30" s="212"/>
      <c r="I30" s="114"/>
      <c r="J30" s="114"/>
      <c r="K30" s="114"/>
    </row>
    <row r="31" spans="1:16">
      <c r="A31" s="395" t="s">
        <v>124</v>
      </c>
      <c r="B31" s="395"/>
      <c r="C31" s="395"/>
      <c r="D31" s="395"/>
      <c r="E31" s="395"/>
      <c r="F31" s="242">
        <v>144.5</v>
      </c>
      <c r="G31" s="47" t="s">
        <v>428</v>
      </c>
      <c r="H31" s="396" t="s">
        <v>125</v>
      </c>
      <c r="I31" s="396"/>
      <c r="J31" s="50"/>
      <c r="K31" s="50"/>
    </row>
    <row r="32" spans="1:16" s="120" customFormat="1" ht="40.5" customHeight="1">
      <c r="A32" s="117"/>
      <c r="B32" s="399" t="s">
        <v>126</v>
      </c>
      <c r="C32" s="399"/>
      <c r="D32" s="399"/>
      <c r="E32" s="118"/>
      <c r="F32" s="243">
        <v>16.399999999999999</v>
      </c>
      <c r="G32" s="190" t="s">
        <v>429</v>
      </c>
      <c r="H32" s="397" t="str">
        <f>"(Chiếm "&amp;N58&amp;"% Tổng diện tích đất nông nghiệp được giao đang sử dụng)"</f>
        <v>(Chiếm 1,12% Tổng diện tích đất nông nghiệp được giao đang sử dụng)</v>
      </c>
      <c r="I32" s="397"/>
      <c r="J32" s="397"/>
      <c r="K32" s="397"/>
      <c r="L32" s="120">
        <f>ROUND(F32/F30*100,2)</f>
        <v>1.1200000000000001</v>
      </c>
    </row>
    <row r="33" spans="1:11" s="120" customFormat="1">
      <c r="A33" s="117"/>
      <c r="B33" s="399" t="s">
        <v>127</v>
      </c>
      <c r="C33" s="399"/>
      <c r="D33" s="399"/>
      <c r="E33" s="121"/>
      <c r="F33" s="243">
        <f>+F31-F32</f>
        <v>128.1</v>
      </c>
      <c r="G33" s="190" t="s">
        <v>429</v>
      </c>
      <c r="H33" s="213"/>
      <c r="I33" s="122"/>
      <c r="J33" s="122"/>
      <c r="K33" s="122"/>
    </row>
    <row r="34" spans="1:11" ht="156" customHeight="1">
      <c r="A34" s="460" t="s">
        <v>445</v>
      </c>
      <c r="B34" s="460"/>
      <c r="C34" s="460"/>
      <c r="D34" s="460"/>
      <c r="E34" s="460"/>
      <c r="F34" s="460"/>
      <c r="G34" s="460"/>
      <c r="H34" s="460"/>
      <c r="I34" s="460"/>
      <c r="J34" s="460"/>
      <c r="K34" s="460"/>
    </row>
    <row r="35" spans="1:11" ht="105" customHeight="1">
      <c r="A35" s="461" t="s">
        <v>446</v>
      </c>
      <c r="B35" s="461"/>
      <c r="C35" s="461"/>
      <c r="D35" s="461"/>
      <c r="E35" s="461"/>
      <c r="F35" s="461"/>
      <c r="G35" s="461"/>
      <c r="H35" s="461"/>
      <c r="I35" s="461"/>
      <c r="J35" s="461"/>
      <c r="K35" s="461"/>
    </row>
    <row r="36" spans="1:11" ht="28.5" customHeight="1">
      <c r="A36" s="414" t="s">
        <v>206</v>
      </c>
      <c r="B36" s="414"/>
      <c r="C36" s="414"/>
      <c r="D36" s="414"/>
      <c r="E36" s="414"/>
      <c r="F36" s="414"/>
      <c r="G36" s="414"/>
      <c r="H36" s="414"/>
      <c r="I36" s="414"/>
      <c r="J36" s="414"/>
      <c r="K36" s="414"/>
    </row>
    <row r="37" spans="1:11" s="48" customFormat="1">
      <c r="A37" s="427" t="s">
        <v>128</v>
      </c>
      <c r="B37" s="427"/>
      <c r="C37" s="427"/>
      <c r="D37" s="427"/>
      <c r="E37" s="52"/>
      <c r="F37" s="230"/>
      <c r="G37" s="201"/>
      <c r="H37" s="214"/>
      <c r="I37" s="52"/>
      <c r="J37" s="53"/>
      <c r="K37" s="52"/>
    </row>
    <row r="38" spans="1:11" s="47" customFormat="1" ht="75.75" customHeight="1">
      <c r="A38" s="95" t="s">
        <v>129</v>
      </c>
      <c r="B38" s="403" t="s">
        <v>12</v>
      </c>
      <c r="C38" s="428"/>
      <c r="D38" s="95" t="s">
        <v>130</v>
      </c>
      <c r="E38" s="95" t="s">
        <v>131</v>
      </c>
      <c r="F38" s="429" t="s">
        <v>477</v>
      </c>
      <c r="G38" s="430"/>
      <c r="H38" s="215" t="s">
        <v>132</v>
      </c>
      <c r="I38" s="95" t="s">
        <v>133</v>
      </c>
      <c r="J38" s="96" t="s">
        <v>134</v>
      </c>
      <c r="K38" s="95" t="s">
        <v>6</v>
      </c>
    </row>
    <row r="39" spans="1:11" s="52" customFormat="1" ht="33" customHeight="1">
      <c r="A39" s="70">
        <v>1</v>
      </c>
      <c r="B39" s="431" t="s">
        <v>352</v>
      </c>
      <c r="C39" s="432"/>
      <c r="D39" s="65" t="s">
        <v>427</v>
      </c>
      <c r="E39" s="123">
        <f>F32</f>
        <v>16.399999999999999</v>
      </c>
      <c r="F39" s="392">
        <v>155000</v>
      </c>
      <c r="G39" s="393"/>
      <c r="H39" s="216"/>
      <c r="I39" s="67">
        <v>1</v>
      </c>
      <c r="J39" s="71">
        <f>E39*F39*I39</f>
        <v>2542000</v>
      </c>
      <c r="K39" s="70"/>
    </row>
    <row r="40" spans="1:11" s="128" customFormat="1" ht="36" customHeight="1">
      <c r="A40" s="405" t="s">
        <v>136</v>
      </c>
      <c r="B40" s="405"/>
      <c r="C40" s="405"/>
      <c r="D40" s="405"/>
      <c r="E40" s="124">
        <f>SUM(E39:E39)</f>
        <v>16.399999999999999</v>
      </c>
      <c r="F40" s="405"/>
      <c r="G40" s="405"/>
      <c r="H40" s="217"/>
      <c r="I40" s="125"/>
      <c r="J40" s="126">
        <f>SUM(J39:J39)</f>
        <v>2542000</v>
      </c>
      <c r="K40" s="127"/>
    </row>
    <row r="41" spans="1:11" s="47" customFormat="1">
      <c r="A41" s="448"/>
      <c r="B41" s="448"/>
      <c r="C41" s="448"/>
      <c r="D41" s="448"/>
      <c r="E41" s="448"/>
      <c r="F41" s="448"/>
      <c r="G41" s="448"/>
      <c r="H41" s="448"/>
      <c r="I41" s="448"/>
      <c r="J41" s="448"/>
      <c r="K41" s="448"/>
    </row>
    <row r="42" spans="1:11" s="129" customFormat="1" ht="39.75" customHeight="1">
      <c r="A42" s="407" t="s">
        <v>137</v>
      </c>
      <c r="B42" s="407"/>
      <c r="C42" s="407"/>
      <c r="D42" s="407"/>
      <c r="E42" s="407"/>
      <c r="F42" s="407"/>
      <c r="G42" s="407"/>
      <c r="H42" s="407"/>
      <c r="I42" s="407"/>
      <c r="J42" s="407"/>
      <c r="K42" s="407"/>
    </row>
    <row r="43" spans="1:11" s="130" customFormat="1" ht="50.25" customHeight="1">
      <c r="A43" s="95" t="s">
        <v>138</v>
      </c>
      <c r="B43" s="408" t="s">
        <v>430</v>
      </c>
      <c r="C43" s="409"/>
      <c r="D43" s="409"/>
      <c r="E43" s="409"/>
      <c r="F43" s="409"/>
      <c r="G43" s="409"/>
      <c r="H43" s="409"/>
      <c r="I43" s="409"/>
      <c r="J43" s="409"/>
      <c r="K43" s="410"/>
    </row>
    <row r="44" spans="1:11" ht="23.25" customHeight="1">
      <c r="A44" s="403" t="s">
        <v>129</v>
      </c>
      <c r="B44" s="403" t="s">
        <v>140</v>
      </c>
      <c r="C44" s="403" t="s">
        <v>141</v>
      </c>
      <c r="D44" s="403" t="s">
        <v>142</v>
      </c>
      <c r="E44" s="403"/>
      <c r="F44" s="403"/>
      <c r="G44" s="403" t="s">
        <v>143</v>
      </c>
      <c r="H44" s="330" t="s">
        <v>144</v>
      </c>
      <c r="I44" s="403" t="s">
        <v>133</v>
      </c>
      <c r="J44" s="404" t="s">
        <v>134</v>
      </c>
      <c r="K44" s="403" t="s">
        <v>6</v>
      </c>
    </row>
    <row r="45" spans="1:11" ht="36" customHeight="1">
      <c r="A45" s="403"/>
      <c r="B45" s="403"/>
      <c r="C45" s="403"/>
      <c r="D45" s="54" t="s">
        <v>145</v>
      </c>
      <c r="E45" s="54" t="s">
        <v>146</v>
      </c>
      <c r="F45" s="231" t="s">
        <v>165</v>
      </c>
      <c r="G45" s="403"/>
      <c r="H45" s="330"/>
      <c r="I45" s="403"/>
      <c r="J45" s="404"/>
      <c r="K45" s="403"/>
    </row>
    <row r="46" spans="1:11" ht="30.75" customHeight="1">
      <c r="A46" s="70">
        <v>1</v>
      </c>
      <c r="B46" s="224" t="s">
        <v>447</v>
      </c>
      <c r="C46" s="70" t="s">
        <v>427</v>
      </c>
      <c r="D46" s="295">
        <f>+(5.17+2.99)/2</f>
        <v>4.08</v>
      </c>
      <c r="E46" s="295">
        <v>4</v>
      </c>
      <c r="F46" s="232"/>
      <c r="G46" s="236">
        <f t="shared" ref="G46" si="0">ROUND(D46*E46,2)</f>
        <v>16.32</v>
      </c>
      <c r="H46" s="223">
        <v>463300</v>
      </c>
      <c r="I46" s="238">
        <v>0</v>
      </c>
      <c r="J46" s="252">
        <f t="shared" ref="J46" si="1">+G46*H46*I46</f>
        <v>0</v>
      </c>
      <c r="K46" s="70"/>
    </row>
    <row r="47" spans="1:11" s="69" customFormat="1" ht="19.5">
      <c r="A47" s="440" t="s">
        <v>147</v>
      </c>
      <c r="B47" s="440"/>
      <c r="C47" s="440"/>
      <c r="D47" s="131"/>
      <c r="E47" s="132"/>
      <c r="F47" s="233"/>
      <c r="G47" s="202"/>
      <c r="H47" s="218"/>
      <c r="I47" s="58"/>
      <c r="J47" s="134">
        <v>0</v>
      </c>
      <c r="K47" s="135"/>
    </row>
    <row r="48" spans="1:11" s="69" customFormat="1" ht="29.25" customHeight="1">
      <c r="A48" s="95" t="s">
        <v>148</v>
      </c>
      <c r="B48" s="408" t="s">
        <v>406</v>
      </c>
      <c r="C48" s="409"/>
      <c r="D48" s="409"/>
      <c r="E48" s="409"/>
      <c r="F48" s="409"/>
      <c r="G48" s="409"/>
      <c r="H48" s="409"/>
      <c r="I48" s="409"/>
      <c r="J48" s="409"/>
      <c r="K48" s="410"/>
    </row>
    <row r="49" spans="1:15" s="69" customFormat="1" ht="61.5" customHeight="1">
      <c r="A49" s="56" t="s">
        <v>129</v>
      </c>
      <c r="B49" s="56" t="s">
        <v>149</v>
      </c>
      <c r="C49" s="56" t="s">
        <v>141</v>
      </c>
      <c r="D49" s="415" t="s">
        <v>150</v>
      </c>
      <c r="E49" s="416"/>
      <c r="F49" s="417"/>
      <c r="G49" s="57" t="s">
        <v>151</v>
      </c>
      <c r="H49" s="219" t="s">
        <v>144</v>
      </c>
      <c r="I49" s="58" t="s">
        <v>133</v>
      </c>
      <c r="J49" s="59" t="s">
        <v>134</v>
      </c>
      <c r="K49" s="56" t="s">
        <v>6</v>
      </c>
    </row>
    <row r="50" spans="1:15" s="47" customFormat="1">
      <c r="A50" s="403" t="s">
        <v>147</v>
      </c>
      <c r="B50" s="403"/>
      <c r="C50" s="403"/>
      <c r="D50" s="403"/>
      <c r="E50" s="403"/>
      <c r="F50" s="403"/>
      <c r="G50" s="95"/>
      <c r="H50" s="217"/>
      <c r="I50" s="137"/>
      <c r="J50" s="138">
        <v>0</v>
      </c>
      <c r="K50" s="70"/>
    </row>
    <row r="51" spans="1:15" s="47" customFormat="1">
      <c r="A51" s="403" t="s">
        <v>152</v>
      </c>
      <c r="B51" s="403"/>
      <c r="C51" s="403"/>
      <c r="D51" s="403"/>
      <c r="E51" s="403"/>
      <c r="F51" s="403"/>
      <c r="G51" s="403"/>
      <c r="H51" s="403"/>
      <c r="I51" s="403"/>
      <c r="J51" s="138">
        <f>J50+J47</f>
        <v>0</v>
      </c>
      <c r="K51" s="70"/>
    </row>
    <row r="52" spans="1:15" ht="24.95" customHeight="1">
      <c r="A52" s="414" t="s">
        <v>153</v>
      </c>
      <c r="B52" s="414"/>
      <c r="C52" s="414"/>
    </row>
    <row r="53" spans="1:15" ht="60.75" customHeight="1">
      <c r="A53" s="95" t="s">
        <v>129</v>
      </c>
      <c r="B53" s="415" t="s">
        <v>154</v>
      </c>
      <c r="C53" s="416"/>
      <c r="D53" s="416"/>
      <c r="E53" s="417"/>
      <c r="F53" s="235" t="s">
        <v>130</v>
      </c>
      <c r="G53" s="95" t="s">
        <v>151</v>
      </c>
      <c r="H53" s="222" t="s">
        <v>144</v>
      </c>
      <c r="I53" s="61" t="s">
        <v>434</v>
      </c>
      <c r="J53" s="96" t="s">
        <v>134</v>
      </c>
      <c r="K53" s="95" t="s">
        <v>6</v>
      </c>
    </row>
    <row r="54" spans="1:15" ht="99.75" customHeight="1">
      <c r="A54" s="70">
        <v>1</v>
      </c>
      <c r="B54" s="439" t="s">
        <v>156</v>
      </c>
      <c r="C54" s="439"/>
      <c r="D54" s="439"/>
      <c r="E54" s="439"/>
      <c r="F54" s="236" t="s">
        <v>427</v>
      </c>
      <c r="G54" s="139">
        <f>F32</f>
        <v>16.399999999999999</v>
      </c>
      <c r="H54" s="223">
        <f>155000*5</f>
        <v>775000</v>
      </c>
      <c r="I54" s="67">
        <v>1</v>
      </c>
      <c r="J54" s="136">
        <f t="shared" ref="J54" si="2">ROUND(G54*H54*I54,2)</f>
        <v>12710000</v>
      </c>
      <c r="K54" s="62" t="s">
        <v>157</v>
      </c>
    </row>
    <row r="55" spans="1:15" ht="77.25" customHeight="1">
      <c r="A55" s="70">
        <v>2</v>
      </c>
      <c r="B55" s="439" t="s">
        <v>435</v>
      </c>
      <c r="C55" s="439"/>
      <c r="D55" s="439"/>
      <c r="E55" s="439"/>
      <c r="F55" s="236" t="s">
        <v>158</v>
      </c>
      <c r="G55" s="297">
        <f>H27</f>
        <v>4</v>
      </c>
      <c r="H55" s="297">
        <f>30*16000</f>
        <v>480000</v>
      </c>
      <c r="I55" s="297">
        <v>1</v>
      </c>
      <c r="J55" s="140">
        <f>ROUND(G55*H55*I55,2)</f>
        <v>1920000</v>
      </c>
      <c r="K55" s="299" t="str">
        <f>IF(N58&lt;10,"Thu hồi dưới 10% hỗ trợ 01 tháng",IF(N58&lt;20,"Thu hồi từ 10% dến dưới 20% hỗ trợ 02 tháng",IF(N58&lt;30,"Thu hồi từ 20% đến dưới 30% hỗ trợ 03 tháng",IF(N58&lt;=70,"Thu hồi từ 30% đến 70% hỗ trợ 06 tháng","Thu hồi trên 70% hỗ trợ 12 tháng"))))</f>
        <v>Thu hồi dưới 10% hỗ trợ 01 tháng</v>
      </c>
    </row>
    <row r="56" spans="1:15" s="47" customFormat="1" ht="83.25" customHeight="1">
      <c r="A56" s="70">
        <v>3</v>
      </c>
      <c r="B56" s="439" t="s">
        <v>436</v>
      </c>
      <c r="C56" s="439"/>
      <c r="D56" s="439"/>
      <c r="E56" s="439"/>
      <c r="F56" s="236" t="s">
        <v>427</v>
      </c>
      <c r="G56" s="141">
        <f>F32</f>
        <v>16.399999999999999</v>
      </c>
      <c r="H56" s="223">
        <v>3000</v>
      </c>
      <c r="I56" s="67">
        <v>1</v>
      </c>
      <c r="J56" s="140">
        <f>IF(G56*H56*I56&gt;=3000000,3000000,G56*H56*I56)</f>
        <v>49199.999999999993</v>
      </c>
      <c r="K56" s="65"/>
    </row>
    <row r="57" spans="1:15" ht="24.75" customHeight="1">
      <c r="A57" s="403" t="s">
        <v>136</v>
      </c>
      <c r="B57" s="403"/>
      <c r="C57" s="403"/>
      <c r="D57" s="403"/>
      <c r="E57" s="403"/>
      <c r="F57" s="403"/>
      <c r="G57" s="403"/>
      <c r="H57" s="403"/>
      <c r="I57" s="403"/>
      <c r="J57" s="138">
        <f>SUM(J54:J56)</f>
        <v>14679200</v>
      </c>
      <c r="K57" s="66"/>
    </row>
    <row r="58" spans="1:15">
      <c r="A58" s="438" t="s">
        <v>160</v>
      </c>
      <c r="B58" s="438"/>
      <c r="C58" s="438"/>
      <c r="D58" s="438"/>
      <c r="E58" s="438"/>
      <c r="F58" s="438"/>
      <c r="G58" s="435">
        <f>J40+J51+J57</f>
        <v>17221200</v>
      </c>
      <c r="H58" s="435"/>
      <c r="I58" s="142" t="s">
        <v>161</v>
      </c>
      <c r="K58" s="128"/>
      <c r="N58" s="64">
        <f>ROUND(F32/F30%,2)</f>
        <v>1.1200000000000001</v>
      </c>
      <c r="O58" s="143">
        <f>H27</f>
        <v>4</v>
      </c>
    </row>
    <row r="59" spans="1:15" ht="24.75" customHeight="1">
      <c r="B59" s="105" t="s">
        <v>178</v>
      </c>
      <c r="C59" s="436" t="str">
        <f>[1]!VND(G58)</f>
        <v>Mười bảy triệu, hai trăm hai mươi mốt nghìn, hai trăm đồng chẵn.</v>
      </c>
      <c r="D59" s="436"/>
      <c r="E59" s="436"/>
      <c r="F59" s="436"/>
      <c r="G59" s="436"/>
      <c r="H59" s="436"/>
      <c r="I59" s="436"/>
      <c r="J59" s="436"/>
      <c r="K59" s="436"/>
    </row>
    <row r="60" spans="1:15" s="128" customFormat="1" ht="2.25" hidden="1" customHeight="1">
      <c r="A60" s="47"/>
      <c r="B60" s="49"/>
      <c r="C60" s="49"/>
      <c r="D60" s="49"/>
      <c r="E60" s="49"/>
      <c r="F60" s="234"/>
      <c r="G60" s="203"/>
      <c r="H60" s="221"/>
      <c r="I60" s="49"/>
      <c r="J60" s="60"/>
      <c r="K60" s="49"/>
    </row>
    <row r="61" spans="1:15" s="128" customFormat="1">
      <c r="A61" s="47"/>
      <c r="B61" s="49"/>
      <c r="C61" s="49"/>
      <c r="D61" s="49"/>
      <c r="E61" s="49"/>
      <c r="F61" s="234"/>
      <c r="G61" s="203"/>
      <c r="H61" s="221"/>
      <c r="I61" s="49"/>
      <c r="J61" s="60"/>
      <c r="K61" s="49"/>
    </row>
  </sheetData>
  <mergeCells count="76">
    <mergeCell ref="A1:D1"/>
    <mergeCell ref="E1:K1"/>
    <mergeCell ref="A2:D2"/>
    <mergeCell ref="E2:K2"/>
    <mergeCell ref="A4:D4"/>
    <mergeCell ref="H4:K4"/>
    <mergeCell ref="A18:K18"/>
    <mergeCell ref="A5:D5"/>
    <mergeCell ref="B6:K6"/>
    <mergeCell ref="A7:K7"/>
    <mergeCell ref="A8:K8"/>
    <mergeCell ref="A10:K10"/>
    <mergeCell ref="A11:K11"/>
    <mergeCell ref="A14:K14"/>
    <mergeCell ref="A12:K12"/>
    <mergeCell ref="A13:K13"/>
    <mergeCell ref="A15:K15"/>
    <mergeCell ref="A16:K16"/>
    <mergeCell ref="A17:K17"/>
    <mergeCell ref="A28:F28"/>
    <mergeCell ref="A19:K19"/>
    <mergeCell ref="A20:K20"/>
    <mergeCell ref="A21:H21"/>
    <mergeCell ref="A22:K22"/>
    <mergeCell ref="A23:K23"/>
    <mergeCell ref="A24:E24"/>
    <mergeCell ref="F24:H24"/>
    <mergeCell ref="A25:G25"/>
    <mergeCell ref="H25:I25"/>
    <mergeCell ref="A26:K26"/>
    <mergeCell ref="A27:G27"/>
    <mergeCell ref="I27:J27"/>
    <mergeCell ref="A29:K29"/>
    <mergeCell ref="A30:E30"/>
    <mergeCell ref="A31:E31"/>
    <mergeCell ref="H31:I31"/>
    <mergeCell ref="B32:D32"/>
    <mergeCell ref="H32:K32"/>
    <mergeCell ref="A42:K42"/>
    <mergeCell ref="B33:D33"/>
    <mergeCell ref="A34:K34"/>
    <mergeCell ref="A35:K35"/>
    <mergeCell ref="A36:K36"/>
    <mergeCell ref="A37:D37"/>
    <mergeCell ref="B38:C38"/>
    <mergeCell ref="F38:G38"/>
    <mergeCell ref="B39:C39"/>
    <mergeCell ref="F39:G39"/>
    <mergeCell ref="A40:D40"/>
    <mergeCell ref="F40:G40"/>
    <mergeCell ref="A41:K41"/>
    <mergeCell ref="A51:I51"/>
    <mergeCell ref="B43:K43"/>
    <mergeCell ref="A44:A45"/>
    <mergeCell ref="B44:B45"/>
    <mergeCell ref="C44:C45"/>
    <mergeCell ref="D44:F44"/>
    <mergeCell ref="G44:G45"/>
    <mergeCell ref="H44:H45"/>
    <mergeCell ref="I44:I45"/>
    <mergeCell ref="J44:J45"/>
    <mergeCell ref="K44:K45"/>
    <mergeCell ref="A47:C47"/>
    <mergeCell ref="B48:K48"/>
    <mergeCell ref="D49:F49"/>
    <mergeCell ref="A50:C50"/>
    <mergeCell ref="D50:F50"/>
    <mergeCell ref="A58:F58"/>
    <mergeCell ref="G58:H58"/>
    <mergeCell ref="C59:K59"/>
    <mergeCell ref="A52:C52"/>
    <mergeCell ref="B53:E53"/>
    <mergeCell ref="B54:E54"/>
    <mergeCell ref="B55:E55"/>
    <mergeCell ref="B56:E56"/>
    <mergeCell ref="A57:I57"/>
  </mergeCells>
  <printOptions horizontalCentered="1"/>
  <pageMargins left="0.354329615048119" right="0.19684930008748908" top="0.31496062992125984" bottom="0.27558945756780401" header="0.31496062992125984" footer="0.15748031496062992"/>
  <pageSetup paperSize="9" scale="65"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61"/>
  <sheetViews>
    <sheetView view="pageBreakPreview" zoomScale="77" zoomScaleNormal="100" zoomScaleSheetLayoutView="77" workbookViewId="0">
      <selection activeCell="A11" sqref="A11:K11"/>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234" customWidth="1"/>
    <col min="7" max="7" width="10.625" style="203" customWidth="1"/>
    <col min="8" max="8" width="13.375" style="221" bestFit="1" customWidth="1"/>
    <col min="9" max="9" width="9.375" style="49" customWidth="1"/>
    <col min="10" max="10" width="17.625" style="60" customWidth="1"/>
    <col min="11" max="11" width="12.375" style="49" customWidth="1"/>
    <col min="12" max="12" width="8.125" style="49" customWidth="1"/>
    <col min="13" max="13" width="15.375" style="49" customWidth="1"/>
    <col min="14" max="14" width="9.75" style="49" customWidth="1"/>
    <col min="15" max="15" width="9" style="49"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226"/>
      <c r="G3" s="46"/>
      <c r="H3" s="207"/>
      <c r="I3" s="46"/>
      <c r="J3" s="46"/>
      <c r="K3" s="46"/>
    </row>
    <row r="4" spans="1:26" ht="16.5" customHeight="1">
      <c r="A4" s="420" t="s">
        <v>470</v>
      </c>
      <c r="B4" s="420"/>
      <c r="C4" s="420"/>
      <c r="D4" s="420"/>
      <c r="E4" s="107"/>
      <c r="F4" s="227"/>
      <c r="G4" s="198"/>
      <c r="H4" s="421"/>
      <c r="I4" s="421"/>
      <c r="J4" s="421"/>
      <c r="K4" s="421"/>
      <c r="L4" s="109"/>
      <c r="M4" s="109"/>
      <c r="N4" s="109"/>
      <c r="O4" s="109"/>
      <c r="P4" s="109"/>
      <c r="Q4" s="109"/>
      <c r="R4" s="109"/>
      <c r="S4" s="109"/>
      <c r="T4" s="107"/>
      <c r="U4" s="107"/>
      <c r="V4" s="107"/>
      <c r="W4" s="107"/>
      <c r="X4" s="107"/>
      <c r="Y4" s="107"/>
      <c r="Z4" s="110"/>
    </row>
    <row r="5" spans="1:26" ht="6.75" customHeight="1">
      <c r="A5" s="423"/>
      <c r="B5" s="423"/>
      <c r="C5" s="423"/>
      <c r="D5" s="423"/>
      <c r="E5" s="107"/>
      <c r="F5" s="227"/>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0.5" customHeight="1">
      <c r="A7" s="419" t="s">
        <v>384</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228"/>
      <c r="G9" s="94"/>
      <c r="H9" s="209"/>
      <c r="I9" s="94"/>
      <c r="J9" s="94"/>
      <c r="K9" s="94"/>
    </row>
    <row r="10" spans="1:26">
      <c r="A10" s="424" t="s">
        <v>414</v>
      </c>
      <c r="B10" s="424"/>
      <c r="C10" s="424"/>
      <c r="D10" s="424"/>
      <c r="E10" s="424"/>
      <c r="F10" s="424"/>
      <c r="G10" s="424"/>
      <c r="H10" s="424"/>
      <c r="I10" s="424"/>
      <c r="J10" s="424"/>
      <c r="K10" s="424"/>
    </row>
    <row r="11" spans="1:26" ht="77.25" customHeight="1">
      <c r="A11" s="433" t="s">
        <v>364</v>
      </c>
      <c r="B11" s="434"/>
      <c r="C11" s="434"/>
      <c r="D11" s="434"/>
      <c r="E11" s="434"/>
      <c r="F11" s="434"/>
      <c r="G11" s="434"/>
      <c r="H11" s="434"/>
      <c r="I11" s="434"/>
      <c r="J11" s="434"/>
      <c r="K11" s="434"/>
    </row>
    <row r="12" spans="1:26" ht="92.25" customHeight="1">
      <c r="A12" s="433" t="s">
        <v>386</v>
      </c>
      <c r="B12" s="434"/>
      <c r="C12" s="434"/>
      <c r="D12" s="434"/>
      <c r="E12" s="434"/>
      <c r="F12" s="434"/>
      <c r="G12" s="434"/>
      <c r="H12" s="434"/>
      <c r="I12" s="434"/>
      <c r="J12" s="434"/>
      <c r="K12" s="434"/>
    </row>
    <row r="13" spans="1:26" ht="99" customHeight="1">
      <c r="A13" s="433" t="s">
        <v>387</v>
      </c>
      <c r="B13" s="433"/>
      <c r="C13" s="433"/>
      <c r="D13" s="433"/>
      <c r="E13" s="433"/>
      <c r="F13" s="433"/>
      <c r="G13" s="433"/>
      <c r="H13" s="433"/>
      <c r="I13" s="433"/>
      <c r="J13" s="433"/>
      <c r="K13" s="433"/>
    </row>
    <row r="14" spans="1:26" ht="57.75" customHeight="1">
      <c r="A14" s="433" t="s">
        <v>478</v>
      </c>
      <c r="B14" s="434"/>
      <c r="C14" s="434"/>
      <c r="D14" s="434"/>
      <c r="E14" s="434"/>
      <c r="F14" s="434"/>
      <c r="G14" s="434"/>
      <c r="H14" s="434"/>
      <c r="I14" s="434"/>
      <c r="J14" s="434"/>
      <c r="K14" s="434"/>
    </row>
    <row r="15" spans="1:26" ht="57.75" customHeight="1">
      <c r="A15" s="433" t="s">
        <v>388</v>
      </c>
      <c r="B15" s="434"/>
      <c r="C15" s="434"/>
      <c r="D15" s="434"/>
      <c r="E15" s="434"/>
      <c r="F15" s="434"/>
      <c r="G15" s="434"/>
      <c r="H15" s="434"/>
      <c r="I15" s="434"/>
      <c r="J15" s="434"/>
      <c r="K15" s="434"/>
    </row>
    <row r="16" spans="1:26" ht="39" customHeight="1">
      <c r="A16" s="433" t="s">
        <v>389</v>
      </c>
      <c r="B16" s="434"/>
      <c r="C16" s="434"/>
      <c r="D16" s="434"/>
      <c r="E16" s="434"/>
      <c r="F16" s="434"/>
      <c r="G16" s="434"/>
      <c r="H16" s="434"/>
      <c r="I16" s="434"/>
      <c r="J16" s="434"/>
      <c r="K16" s="434"/>
    </row>
    <row r="17" spans="1:16" ht="46.5" customHeight="1">
      <c r="A17" s="433" t="s">
        <v>415</v>
      </c>
      <c r="B17" s="433"/>
      <c r="C17" s="433"/>
      <c r="D17" s="433"/>
      <c r="E17" s="433"/>
      <c r="F17" s="433"/>
      <c r="G17" s="433"/>
      <c r="H17" s="433"/>
      <c r="I17" s="433"/>
      <c r="J17" s="433"/>
      <c r="K17" s="433"/>
    </row>
    <row r="18" spans="1:16" ht="59.25" customHeight="1">
      <c r="A18" s="433" t="s">
        <v>416</v>
      </c>
      <c r="B18" s="434"/>
      <c r="C18" s="434"/>
      <c r="D18" s="434"/>
      <c r="E18" s="434"/>
      <c r="F18" s="434"/>
      <c r="G18" s="434"/>
      <c r="H18" s="434"/>
      <c r="I18" s="434"/>
      <c r="J18" s="434"/>
      <c r="K18" s="434"/>
    </row>
    <row r="19" spans="1:16">
      <c r="A19" s="433" t="s">
        <v>437</v>
      </c>
      <c r="B19" s="434"/>
      <c r="C19" s="434"/>
      <c r="D19" s="434"/>
      <c r="E19" s="434"/>
      <c r="F19" s="434"/>
      <c r="G19" s="434"/>
      <c r="H19" s="434"/>
      <c r="I19" s="434"/>
      <c r="J19" s="434"/>
      <c r="K19" s="434"/>
    </row>
    <row r="20" spans="1:16">
      <c r="A20" s="459" t="s">
        <v>418</v>
      </c>
      <c r="B20" s="459"/>
      <c r="C20" s="459"/>
      <c r="D20" s="459"/>
      <c r="E20" s="459"/>
      <c r="F20" s="459"/>
      <c r="G20" s="459"/>
      <c r="H20" s="459"/>
      <c r="I20" s="459"/>
      <c r="J20" s="459"/>
      <c r="K20" s="459"/>
    </row>
    <row r="21" spans="1:16">
      <c r="A21" s="414" t="s">
        <v>205</v>
      </c>
      <c r="B21" s="414"/>
      <c r="C21" s="414"/>
      <c r="D21" s="414"/>
      <c r="E21" s="414"/>
      <c r="F21" s="414"/>
      <c r="G21" s="414"/>
      <c r="H21" s="414"/>
      <c r="I21" s="48"/>
      <c r="J21" s="48"/>
      <c r="K21" s="48"/>
    </row>
    <row r="22" spans="1:16">
      <c r="A22" s="414" t="s">
        <v>448</v>
      </c>
      <c r="B22" s="414"/>
      <c r="C22" s="414"/>
      <c r="D22" s="414"/>
      <c r="E22" s="414"/>
      <c r="F22" s="414"/>
      <c r="G22" s="414"/>
      <c r="H22" s="414"/>
      <c r="I22" s="414"/>
      <c r="J22" s="414"/>
      <c r="K22" s="414"/>
    </row>
    <row r="23" spans="1:16" ht="39" customHeight="1">
      <c r="A23" s="414" t="s">
        <v>449</v>
      </c>
      <c r="B23" s="414"/>
      <c r="C23" s="414"/>
      <c r="D23" s="414"/>
      <c r="E23" s="414"/>
      <c r="F23" s="414"/>
      <c r="G23" s="414"/>
      <c r="H23" s="414"/>
      <c r="I23" s="414"/>
      <c r="J23" s="414"/>
      <c r="K23" s="414"/>
    </row>
    <row r="24" spans="1:16" ht="21" customHeight="1">
      <c r="A24" s="395" t="s">
        <v>450</v>
      </c>
      <c r="B24" s="395"/>
      <c r="C24" s="395"/>
      <c r="D24" s="395"/>
      <c r="E24" s="395"/>
      <c r="F24" s="395" t="s">
        <v>451</v>
      </c>
      <c r="G24" s="395"/>
      <c r="H24" s="395"/>
      <c r="I24" s="50"/>
      <c r="J24" s="50"/>
      <c r="K24" s="50"/>
    </row>
    <row r="25" spans="1:16" ht="28.5" customHeight="1">
      <c r="A25" s="395" t="s">
        <v>452</v>
      </c>
      <c r="B25" s="395"/>
      <c r="C25" s="395"/>
      <c r="D25" s="395"/>
      <c r="E25" s="395"/>
      <c r="F25" s="395"/>
      <c r="G25" s="395"/>
      <c r="H25" s="422" t="s">
        <v>119</v>
      </c>
      <c r="I25" s="422"/>
      <c r="J25" s="292" t="s">
        <v>453</v>
      </c>
      <c r="K25" s="50"/>
    </row>
    <row r="26" spans="1:16" ht="22.5" customHeight="1">
      <c r="A26" s="395" t="s">
        <v>454</v>
      </c>
      <c r="B26" s="395"/>
      <c r="C26" s="395"/>
      <c r="D26" s="395"/>
      <c r="E26" s="395"/>
      <c r="F26" s="395"/>
      <c r="G26" s="395"/>
      <c r="H26" s="395"/>
      <c r="I26" s="395"/>
      <c r="J26" s="395"/>
      <c r="K26" s="395"/>
    </row>
    <row r="27" spans="1:16" ht="20.25" customHeight="1">
      <c r="A27" s="395" t="s">
        <v>120</v>
      </c>
      <c r="B27" s="395"/>
      <c r="C27" s="395"/>
      <c r="D27" s="395"/>
      <c r="E27" s="395"/>
      <c r="F27" s="395"/>
      <c r="G27" s="395"/>
      <c r="H27" s="210">
        <v>6</v>
      </c>
      <c r="I27" s="395" t="s">
        <v>121</v>
      </c>
      <c r="J27" s="395"/>
      <c r="K27" s="50"/>
      <c r="L27" s="48"/>
      <c r="M27" s="48"/>
      <c r="O27" s="48"/>
      <c r="P27" s="48"/>
    </row>
    <row r="28" spans="1:16">
      <c r="A28" s="414" t="s">
        <v>424</v>
      </c>
      <c r="B28" s="414"/>
      <c r="C28" s="414"/>
      <c r="D28" s="414"/>
      <c r="E28" s="414"/>
      <c r="F28" s="414"/>
      <c r="G28" s="199"/>
      <c r="H28" s="211"/>
      <c r="I28" s="51"/>
      <c r="J28" s="51"/>
      <c r="K28" s="51"/>
    </row>
    <row r="29" spans="1:16" ht="38.25" customHeight="1">
      <c r="A29" s="394" t="s">
        <v>455</v>
      </c>
      <c r="B29" s="394"/>
      <c r="C29" s="394"/>
      <c r="D29" s="394"/>
      <c r="E29" s="394"/>
      <c r="F29" s="394"/>
      <c r="G29" s="394"/>
      <c r="H29" s="394"/>
      <c r="I29" s="394"/>
      <c r="J29" s="394"/>
      <c r="K29" s="394"/>
    </row>
    <row r="30" spans="1:16" s="115" customFormat="1" ht="55.5" customHeight="1">
      <c r="A30" s="426" t="s">
        <v>456</v>
      </c>
      <c r="B30" s="426"/>
      <c r="C30" s="426"/>
      <c r="D30" s="426"/>
      <c r="E30" s="426"/>
      <c r="F30" s="293">
        <v>533.6</v>
      </c>
      <c r="G30" s="200" t="s">
        <v>427</v>
      </c>
      <c r="H30" s="212"/>
      <c r="I30" s="114"/>
      <c r="J30" s="114"/>
      <c r="K30" s="114"/>
    </row>
    <row r="31" spans="1:16">
      <c r="A31" s="395" t="s">
        <v>124</v>
      </c>
      <c r="B31" s="395"/>
      <c r="C31" s="395"/>
      <c r="D31" s="395"/>
      <c r="E31" s="395"/>
      <c r="F31" s="242">
        <v>137.6</v>
      </c>
      <c r="G31" s="47" t="s">
        <v>428</v>
      </c>
      <c r="H31" s="396" t="s">
        <v>125</v>
      </c>
      <c r="I31" s="396"/>
      <c r="J31" s="50"/>
      <c r="K31" s="50"/>
    </row>
    <row r="32" spans="1:16" s="120" customFormat="1" ht="37.5" customHeight="1">
      <c r="A32" s="117"/>
      <c r="B32" s="399" t="s">
        <v>126</v>
      </c>
      <c r="C32" s="399"/>
      <c r="D32" s="399"/>
      <c r="E32" s="118"/>
      <c r="F32" s="243">
        <v>8.8000000000000007</v>
      </c>
      <c r="G32" s="190" t="s">
        <v>429</v>
      </c>
      <c r="H32" s="397" t="str">
        <f>"(Chiếm "&amp;N58&amp;"% Tổng diện tích đất nông nghiệp được giao đang sử dụng)"</f>
        <v>(Chiếm 1,65% Tổng diện tích đất nông nghiệp được giao đang sử dụng)</v>
      </c>
      <c r="I32" s="397"/>
      <c r="J32" s="397"/>
      <c r="K32" s="397"/>
    </row>
    <row r="33" spans="1:11" s="120" customFormat="1">
      <c r="A33" s="117"/>
      <c r="B33" s="399" t="s">
        <v>127</v>
      </c>
      <c r="C33" s="399"/>
      <c r="D33" s="399"/>
      <c r="E33" s="121"/>
      <c r="F33" s="243">
        <f>+F31-F32</f>
        <v>128.79999999999998</v>
      </c>
      <c r="G33" s="190" t="s">
        <v>429</v>
      </c>
      <c r="H33" s="213"/>
      <c r="I33" s="122"/>
      <c r="J33" s="122"/>
      <c r="K33" s="122"/>
    </row>
    <row r="34" spans="1:11" ht="172.5" customHeight="1">
      <c r="A34" s="460" t="s">
        <v>457</v>
      </c>
      <c r="B34" s="460"/>
      <c r="C34" s="460"/>
      <c r="D34" s="460"/>
      <c r="E34" s="460"/>
      <c r="F34" s="460"/>
      <c r="G34" s="460"/>
      <c r="H34" s="460"/>
      <c r="I34" s="460"/>
      <c r="J34" s="460"/>
      <c r="K34" s="460"/>
    </row>
    <row r="35" spans="1:11" ht="100.5" customHeight="1">
      <c r="A35" s="461" t="s">
        <v>458</v>
      </c>
      <c r="B35" s="461"/>
      <c r="C35" s="461"/>
      <c r="D35" s="461"/>
      <c r="E35" s="461"/>
      <c r="F35" s="461"/>
      <c r="G35" s="461"/>
      <c r="H35" s="461"/>
      <c r="I35" s="461"/>
      <c r="J35" s="461"/>
      <c r="K35" s="461"/>
    </row>
    <row r="36" spans="1:11" ht="24" customHeight="1">
      <c r="A36" s="414" t="s">
        <v>206</v>
      </c>
      <c r="B36" s="414"/>
      <c r="C36" s="414"/>
      <c r="D36" s="414"/>
      <c r="E36" s="414"/>
      <c r="F36" s="414"/>
      <c r="G36" s="414"/>
      <c r="H36" s="414"/>
      <c r="I36" s="414"/>
      <c r="J36" s="414"/>
      <c r="K36" s="414"/>
    </row>
    <row r="37" spans="1:11" s="48" customFormat="1">
      <c r="A37" s="427" t="s">
        <v>128</v>
      </c>
      <c r="B37" s="427"/>
      <c r="C37" s="427"/>
      <c r="D37" s="427"/>
      <c r="E37" s="52"/>
      <c r="F37" s="230"/>
      <c r="G37" s="201"/>
      <c r="H37" s="214"/>
      <c r="I37" s="52"/>
      <c r="J37" s="53"/>
      <c r="K37" s="52"/>
    </row>
    <row r="38" spans="1:11" s="47" customFormat="1" ht="75.75" customHeight="1">
      <c r="A38" s="95" t="s">
        <v>129</v>
      </c>
      <c r="B38" s="403" t="s">
        <v>12</v>
      </c>
      <c r="C38" s="428"/>
      <c r="D38" s="95" t="s">
        <v>130</v>
      </c>
      <c r="E38" s="95" t="s">
        <v>131</v>
      </c>
      <c r="F38" s="429" t="s">
        <v>477</v>
      </c>
      <c r="G38" s="430"/>
      <c r="H38" s="215" t="s">
        <v>132</v>
      </c>
      <c r="I38" s="95" t="s">
        <v>133</v>
      </c>
      <c r="J38" s="96" t="s">
        <v>134</v>
      </c>
      <c r="K38" s="95" t="s">
        <v>6</v>
      </c>
    </row>
    <row r="39" spans="1:11" s="52" customFormat="1" ht="33" customHeight="1">
      <c r="A39" s="70">
        <v>1</v>
      </c>
      <c r="B39" s="431" t="s">
        <v>352</v>
      </c>
      <c r="C39" s="432"/>
      <c r="D39" s="65" t="s">
        <v>427</v>
      </c>
      <c r="E39" s="123">
        <f>F32</f>
        <v>8.8000000000000007</v>
      </c>
      <c r="F39" s="392">
        <v>155000</v>
      </c>
      <c r="G39" s="393"/>
      <c r="H39" s="216"/>
      <c r="I39" s="67">
        <v>1</v>
      </c>
      <c r="J39" s="71">
        <f>E39*F39*I39</f>
        <v>1364000</v>
      </c>
      <c r="K39" s="70"/>
    </row>
    <row r="40" spans="1:11" s="128" customFormat="1" ht="36" customHeight="1">
      <c r="A40" s="405" t="s">
        <v>136</v>
      </c>
      <c r="B40" s="405"/>
      <c r="C40" s="405"/>
      <c r="D40" s="405"/>
      <c r="E40" s="124">
        <f>SUM(E39:E39)</f>
        <v>8.8000000000000007</v>
      </c>
      <c r="F40" s="405"/>
      <c r="G40" s="405"/>
      <c r="H40" s="217"/>
      <c r="I40" s="125"/>
      <c r="J40" s="126">
        <f>SUM(J39:J39)</f>
        <v>1364000</v>
      </c>
      <c r="K40" s="127"/>
    </row>
    <row r="41" spans="1:11" s="47" customFormat="1">
      <c r="A41" s="448"/>
      <c r="B41" s="448"/>
      <c r="C41" s="448"/>
      <c r="D41" s="448"/>
      <c r="E41" s="448"/>
      <c r="F41" s="448"/>
      <c r="G41" s="448"/>
      <c r="H41" s="448"/>
      <c r="I41" s="448"/>
      <c r="J41" s="448"/>
      <c r="K41" s="448"/>
    </row>
    <row r="42" spans="1:11" s="129" customFormat="1" ht="30" customHeight="1">
      <c r="A42" s="407" t="s">
        <v>137</v>
      </c>
      <c r="B42" s="407"/>
      <c r="C42" s="407"/>
      <c r="D42" s="407"/>
      <c r="E42" s="407"/>
      <c r="F42" s="407"/>
      <c r="G42" s="407"/>
      <c r="H42" s="407"/>
      <c r="I42" s="407"/>
      <c r="J42" s="407"/>
      <c r="K42" s="407"/>
    </row>
    <row r="43" spans="1:11" s="130" customFormat="1" ht="51" customHeight="1">
      <c r="A43" s="95" t="s">
        <v>138</v>
      </c>
      <c r="B43" s="408" t="s">
        <v>430</v>
      </c>
      <c r="C43" s="409"/>
      <c r="D43" s="409"/>
      <c r="E43" s="409"/>
      <c r="F43" s="409"/>
      <c r="G43" s="409"/>
      <c r="H43" s="409"/>
      <c r="I43" s="409"/>
      <c r="J43" s="409"/>
      <c r="K43" s="410"/>
    </row>
    <row r="44" spans="1:11" ht="23.25" customHeight="1">
      <c r="A44" s="403" t="s">
        <v>129</v>
      </c>
      <c r="B44" s="403" t="s">
        <v>140</v>
      </c>
      <c r="C44" s="403" t="s">
        <v>141</v>
      </c>
      <c r="D44" s="403" t="s">
        <v>142</v>
      </c>
      <c r="E44" s="403"/>
      <c r="F44" s="403"/>
      <c r="G44" s="403" t="s">
        <v>143</v>
      </c>
      <c r="H44" s="330" t="s">
        <v>144</v>
      </c>
      <c r="I44" s="403" t="s">
        <v>133</v>
      </c>
      <c r="J44" s="404" t="s">
        <v>134</v>
      </c>
      <c r="K44" s="403" t="s">
        <v>6</v>
      </c>
    </row>
    <row r="45" spans="1:11" ht="36" customHeight="1">
      <c r="A45" s="403"/>
      <c r="B45" s="403"/>
      <c r="C45" s="403"/>
      <c r="D45" s="54" t="s">
        <v>145</v>
      </c>
      <c r="E45" s="54" t="s">
        <v>146</v>
      </c>
      <c r="F45" s="231" t="s">
        <v>165</v>
      </c>
      <c r="G45" s="403"/>
      <c r="H45" s="330"/>
      <c r="I45" s="403"/>
      <c r="J45" s="404"/>
      <c r="K45" s="403"/>
    </row>
    <row r="46" spans="1:11" ht="30.75" customHeight="1">
      <c r="A46" s="70">
        <v>1</v>
      </c>
      <c r="B46" s="224" t="s">
        <v>459</v>
      </c>
      <c r="C46" s="70" t="s">
        <v>427</v>
      </c>
      <c r="D46" s="295">
        <f>+(1.58+2.99)/2</f>
        <v>2.2850000000000001</v>
      </c>
      <c r="E46" s="295">
        <v>3.85</v>
      </c>
      <c r="F46" s="232"/>
      <c r="G46" s="236">
        <f t="shared" ref="G46" si="0">ROUND(D46*E46,2)</f>
        <v>8.8000000000000007</v>
      </c>
      <c r="H46" s="223">
        <v>306100</v>
      </c>
      <c r="I46" s="238">
        <v>0</v>
      </c>
      <c r="J46" s="252">
        <f t="shared" ref="J46" si="1">+G46*H46*I46</f>
        <v>0</v>
      </c>
      <c r="K46" s="70"/>
    </row>
    <row r="47" spans="1:11" s="69" customFormat="1" ht="19.5">
      <c r="A47" s="440" t="s">
        <v>147</v>
      </c>
      <c r="B47" s="440"/>
      <c r="C47" s="440"/>
      <c r="D47" s="131"/>
      <c r="E47" s="132"/>
      <c r="F47" s="233"/>
      <c r="G47" s="202"/>
      <c r="H47" s="218"/>
      <c r="I47" s="58"/>
      <c r="J47" s="134">
        <v>0</v>
      </c>
      <c r="K47" s="135"/>
    </row>
    <row r="48" spans="1:11" s="69" customFormat="1" ht="30.75" customHeight="1">
      <c r="A48" s="95" t="s">
        <v>148</v>
      </c>
      <c r="B48" s="408" t="s">
        <v>406</v>
      </c>
      <c r="C48" s="409"/>
      <c r="D48" s="409"/>
      <c r="E48" s="409"/>
      <c r="F48" s="409"/>
      <c r="G48" s="409"/>
      <c r="H48" s="409"/>
      <c r="I48" s="409"/>
      <c r="J48" s="409"/>
      <c r="K48" s="410"/>
    </row>
    <row r="49" spans="1:15" s="69" customFormat="1" ht="61.5" customHeight="1">
      <c r="A49" s="56" t="s">
        <v>129</v>
      </c>
      <c r="B49" s="56" t="s">
        <v>149</v>
      </c>
      <c r="C49" s="56" t="s">
        <v>141</v>
      </c>
      <c r="D49" s="415" t="s">
        <v>150</v>
      </c>
      <c r="E49" s="416"/>
      <c r="F49" s="417"/>
      <c r="G49" s="57" t="s">
        <v>151</v>
      </c>
      <c r="H49" s="219" t="s">
        <v>144</v>
      </c>
      <c r="I49" s="58" t="s">
        <v>133</v>
      </c>
      <c r="J49" s="59" t="s">
        <v>134</v>
      </c>
      <c r="K49" s="56" t="s">
        <v>6</v>
      </c>
    </row>
    <row r="50" spans="1:15" s="47" customFormat="1">
      <c r="A50" s="403" t="s">
        <v>147</v>
      </c>
      <c r="B50" s="403"/>
      <c r="C50" s="403"/>
      <c r="D50" s="403"/>
      <c r="E50" s="403"/>
      <c r="F50" s="403"/>
      <c r="G50" s="95"/>
      <c r="H50" s="217"/>
      <c r="I50" s="137"/>
      <c r="J50" s="138">
        <v>0</v>
      </c>
      <c r="K50" s="70"/>
    </row>
    <row r="51" spans="1:15" s="47" customFormat="1">
      <c r="A51" s="403" t="s">
        <v>152</v>
      </c>
      <c r="B51" s="403"/>
      <c r="C51" s="403"/>
      <c r="D51" s="403"/>
      <c r="E51" s="403"/>
      <c r="F51" s="403"/>
      <c r="G51" s="403"/>
      <c r="H51" s="403"/>
      <c r="I51" s="403"/>
      <c r="J51" s="138">
        <f>J50+J47</f>
        <v>0</v>
      </c>
      <c r="K51" s="70"/>
    </row>
    <row r="52" spans="1:15" ht="24.95" customHeight="1">
      <c r="A52" s="414" t="s">
        <v>153</v>
      </c>
      <c r="B52" s="414"/>
      <c r="C52" s="414"/>
    </row>
    <row r="53" spans="1:15" ht="63" customHeight="1">
      <c r="A53" s="95" t="s">
        <v>129</v>
      </c>
      <c r="B53" s="415" t="s">
        <v>154</v>
      </c>
      <c r="C53" s="416"/>
      <c r="D53" s="416"/>
      <c r="E53" s="417"/>
      <c r="F53" s="235" t="s">
        <v>130</v>
      </c>
      <c r="G53" s="95" t="s">
        <v>151</v>
      </c>
      <c r="H53" s="222" t="s">
        <v>144</v>
      </c>
      <c r="I53" s="61" t="s">
        <v>434</v>
      </c>
      <c r="J53" s="96" t="s">
        <v>134</v>
      </c>
      <c r="K53" s="95" t="s">
        <v>6</v>
      </c>
    </row>
    <row r="54" spans="1:15" ht="99.75" customHeight="1">
      <c r="A54" s="70">
        <v>1</v>
      </c>
      <c r="B54" s="439" t="s">
        <v>156</v>
      </c>
      <c r="C54" s="439"/>
      <c r="D54" s="439"/>
      <c r="E54" s="439"/>
      <c r="F54" s="236" t="s">
        <v>427</v>
      </c>
      <c r="G54" s="139">
        <f>F32</f>
        <v>8.8000000000000007</v>
      </c>
      <c r="H54" s="223">
        <f>155000*5</f>
        <v>775000</v>
      </c>
      <c r="I54" s="67">
        <v>1</v>
      </c>
      <c r="J54" s="136">
        <f t="shared" ref="J54" si="2">ROUND(G54*H54*I54,2)</f>
        <v>6820000</v>
      </c>
      <c r="K54" s="62" t="s">
        <v>157</v>
      </c>
    </row>
    <row r="55" spans="1:15" ht="77.25" customHeight="1">
      <c r="A55" s="70">
        <v>2</v>
      </c>
      <c r="B55" s="439" t="s">
        <v>435</v>
      </c>
      <c r="C55" s="439"/>
      <c r="D55" s="439"/>
      <c r="E55" s="439"/>
      <c r="F55" s="236" t="s">
        <v>158</v>
      </c>
      <c r="G55" s="297">
        <f>+H27</f>
        <v>6</v>
      </c>
      <c r="H55" s="298">
        <f>30*16000</f>
        <v>480000</v>
      </c>
      <c r="I55" s="297">
        <v>1</v>
      </c>
      <c r="J55" s="140">
        <f>+G55*H55*I55</f>
        <v>2880000</v>
      </c>
      <c r="K55" s="299" t="str">
        <f>IF(N58&lt;10,"Thu hồi dưới 10% hỗ trợ 01 tháng",IF(N58&lt;20,"Thu hồi từ 10% dến dưới 20% hỗ trợ 02 tháng",IF(N58&lt;30,"Thu hồi từ 20% đến dưới 30% hỗ trợ 03 tháng",IF(N58&lt;=70,"Thu hồi từ 30% đến 70% hỗ trợ 06 tháng","Thu hồi trên 70% hỗ trợ 12 tháng"))))</f>
        <v>Thu hồi dưới 10% hỗ trợ 01 tháng</v>
      </c>
    </row>
    <row r="56" spans="1:15" s="47" customFormat="1" ht="83.25" customHeight="1">
      <c r="A56" s="70">
        <v>3</v>
      </c>
      <c r="B56" s="439" t="s">
        <v>436</v>
      </c>
      <c r="C56" s="439"/>
      <c r="D56" s="439"/>
      <c r="E56" s="439"/>
      <c r="F56" s="236" t="s">
        <v>427</v>
      </c>
      <c r="G56" s="141">
        <f>F32</f>
        <v>8.8000000000000007</v>
      </c>
      <c r="H56" s="223">
        <v>3000</v>
      </c>
      <c r="I56" s="67">
        <v>1</v>
      </c>
      <c r="J56" s="140">
        <f>IF(G56*H56*I56&gt;=3000000,3000000,G56*H56*I56)</f>
        <v>26400.000000000004</v>
      </c>
      <c r="K56" s="65"/>
    </row>
    <row r="57" spans="1:15" ht="24.75" customHeight="1">
      <c r="A57" s="403" t="s">
        <v>136</v>
      </c>
      <c r="B57" s="403"/>
      <c r="C57" s="403"/>
      <c r="D57" s="403"/>
      <c r="E57" s="403"/>
      <c r="F57" s="403"/>
      <c r="G57" s="403"/>
      <c r="H57" s="403"/>
      <c r="I57" s="403"/>
      <c r="J57" s="138">
        <f>SUM(J54:J56)</f>
        <v>9726400</v>
      </c>
      <c r="K57" s="66"/>
    </row>
    <row r="58" spans="1:15">
      <c r="A58" s="438" t="s">
        <v>160</v>
      </c>
      <c r="B58" s="438"/>
      <c r="C58" s="438"/>
      <c r="D58" s="438"/>
      <c r="E58" s="438"/>
      <c r="F58" s="438"/>
      <c r="G58" s="435">
        <f>J40+J51+J57</f>
        <v>11090400</v>
      </c>
      <c r="H58" s="435"/>
      <c r="I58" s="142" t="s">
        <v>161</v>
      </c>
      <c r="K58" s="128"/>
      <c r="N58" s="64">
        <f>ROUND(F32/F30%,2)</f>
        <v>1.65</v>
      </c>
      <c r="O58" s="143">
        <f>H27</f>
        <v>6</v>
      </c>
    </row>
    <row r="59" spans="1:15" ht="24.75" customHeight="1">
      <c r="B59" s="105" t="s">
        <v>178</v>
      </c>
      <c r="C59" s="436" t="str">
        <f>[1]!VND(G58)</f>
        <v>Mười một triệu, không trăm chín mươi nghìn, bốn trăm đồng chẵn.</v>
      </c>
      <c r="D59" s="436"/>
      <c r="E59" s="436"/>
      <c r="F59" s="436"/>
      <c r="G59" s="436"/>
      <c r="H59" s="436"/>
      <c r="I59" s="436"/>
      <c r="J59" s="436"/>
      <c r="K59" s="436"/>
    </row>
    <row r="60" spans="1:15" s="128" customFormat="1" ht="2.25" hidden="1" customHeight="1">
      <c r="A60" s="47"/>
      <c r="B60" s="49"/>
      <c r="C60" s="49"/>
      <c r="D60" s="49"/>
      <c r="E60" s="49"/>
      <c r="F60" s="234"/>
      <c r="G60" s="203"/>
      <c r="H60" s="221"/>
      <c r="I60" s="49"/>
      <c r="J60" s="60"/>
      <c r="K60" s="49"/>
    </row>
    <row r="61" spans="1:15" s="128" customFormat="1">
      <c r="A61" s="47"/>
      <c r="B61" s="49"/>
      <c r="C61" s="49"/>
      <c r="D61" s="49"/>
      <c r="E61" s="49"/>
      <c r="F61" s="234"/>
      <c r="G61" s="203"/>
      <c r="H61" s="221"/>
      <c r="I61" s="49"/>
      <c r="J61" s="60"/>
      <c r="K61" s="49"/>
    </row>
  </sheetData>
  <mergeCells count="76">
    <mergeCell ref="A1:D1"/>
    <mergeCell ref="E1:K1"/>
    <mergeCell ref="A2:D2"/>
    <mergeCell ref="E2:K2"/>
    <mergeCell ref="A4:D4"/>
    <mergeCell ref="H4:K4"/>
    <mergeCell ref="A18:K18"/>
    <mergeCell ref="A5:D5"/>
    <mergeCell ref="B6:K6"/>
    <mergeCell ref="A7:K7"/>
    <mergeCell ref="A8:K8"/>
    <mergeCell ref="A10:K10"/>
    <mergeCell ref="A11:K11"/>
    <mergeCell ref="A14:K14"/>
    <mergeCell ref="A12:K12"/>
    <mergeCell ref="A13:K13"/>
    <mergeCell ref="A15:K15"/>
    <mergeCell ref="A16:K16"/>
    <mergeCell ref="A17:K17"/>
    <mergeCell ref="A28:F28"/>
    <mergeCell ref="A19:K19"/>
    <mergeCell ref="A20:K20"/>
    <mergeCell ref="A21:H21"/>
    <mergeCell ref="A22:K22"/>
    <mergeCell ref="A23:K23"/>
    <mergeCell ref="A24:E24"/>
    <mergeCell ref="F24:H24"/>
    <mergeCell ref="A25:G25"/>
    <mergeCell ref="H25:I25"/>
    <mergeCell ref="A26:K26"/>
    <mergeCell ref="A27:G27"/>
    <mergeCell ref="I27:J27"/>
    <mergeCell ref="A29:K29"/>
    <mergeCell ref="A30:E30"/>
    <mergeCell ref="A31:E31"/>
    <mergeCell ref="H31:I31"/>
    <mergeCell ref="B32:D32"/>
    <mergeCell ref="H32:K32"/>
    <mergeCell ref="A42:K42"/>
    <mergeCell ref="B33:D33"/>
    <mergeCell ref="A34:K34"/>
    <mergeCell ref="A35:K35"/>
    <mergeCell ref="A36:K36"/>
    <mergeCell ref="A37:D37"/>
    <mergeCell ref="B38:C38"/>
    <mergeCell ref="F38:G38"/>
    <mergeCell ref="B39:C39"/>
    <mergeCell ref="F39:G39"/>
    <mergeCell ref="A40:D40"/>
    <mergeCell ref="F40:G40"/>
    <mergeCell ref="A41:K41"/>
    <mergeCell ref="A51:I51"/>
    <mergeCell ref="B43:K43"/>
    <mergeCell ref="A44:A45"/>
    <mergeCell ref="B44:B45"/>
    <mergeCell ref="C44:C45"/>
    <mergeCell ref="D44:F44"/>
    <mergeCell ref="G44:G45"/>
    <mergeCell ref="H44:H45"/>
    <mergeCell ref="I44:I45"/>
    <mergeCell ref="J44:J45"/>
    <mergeCell ref="K44:K45"/>
    <mergeCell ref="A47:C47"/>
    <mergeCell ref="B48:K48"/>
    <mergeCell ref="D49:F49"/>
    <mergeCell ref="A50:C50"/>
    <mergeCell ref="D50:F50"/>
    <mergeCell ref="A58:F58"/>
    <mergeCell ref="G58:H58"/>
    <mergeCell ref="C59:K59"/>
    <mergeCell ref="A52:C52"/>
    <mergeCell ref="B53:E53"/>
    <mergeCell ref="B54:E54"/>
    <mergeCell ref="B55:E55"/>
    <mergeCell ref="B56:E56"/>
    <mergeCell ref="A57:I57"/>
  </mergeCells>
  <printOptions horizontalCentered="1"/>
  <pageMargins left="0.354329615048119" right="0.19684930008748908" top="0.31496062992125984" bottom="0.27558945756780401" header="0.31496062992125984" footer="0.15748031496062992"/>
  <pageSetup paperSize="9" scale="65"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62"/>
  <sheetViews>
    <sheetView view="pageBreakPreview" topLeftCell="A8" zoomScale="77" zoomScaleNormal="100" zoomScaleSheetLayoutView="77" workbookViewId="0">
      <selection activeCell="A13" sqref="A13:K14"/>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234" customWidth="1"/>
    <col min="7" max="7" width="10.875" style="203" customWidth="1"/>
    <col min="8" max="8" width="13.375" style="221" bestFit="1" customWidth="1"/>
    <col min="9" max="9" width="9.375" style="49" customWidth="1"/>
    <col min="10" max="10" width="17.625" style="60" customWidth="1"/>
    <col min="11" max="11" width="12.375" style="49" customWidth="1"/>
    <col min="12" max="12" width="8.125" style="49" customWidth="1"/>
    <col min="13" max="13" width="15.375" style="49" customWidth="1"/>
    <col min="14" max="14" width="9.75" style="49" customWidth="1"/>
    <col min="15" max="15" width="9" style="49"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226"/>
      <c r="G3" s="46"/>
      <c r="H3" s="207"/>
      <c r="I3" s="46"/>
      <c r="J3" s="46"/>
      <c r="K3" s="46"/>
    </row>
    <row r="4" spans="1:26" ht="16.5" customHeight="1">
      <c r="A4" s="420" t="s">
        <v>471</v>
      </c>
      <c r="B4" s="420"/>
      <c r="C4" s="420"/>
      <c r="D4" s="420"/>
      <c r="E4" s="107"/>
      <c r="F4" s="227"/>
      <c r="G4" s="198"/>
      <c r="H4" s="421"/>
      <c r="I4" s="421"/>
      <c r="J4" s="421"/>
      <c r="K4" s="421"/>
      <c r="L4" s="109"/>
      <c r="M4" s="109"/>
      <c r="N4" s="109"/>
      <c r="O4" s="109"/>
      <c r="P4" s="109"/>
      <c r="Q4" s="109"/>
      <c r="R4" s="109"/>
      <c r="S4" s="109"/>
      <c r="T4" s="107"/>
      <c r="U4" s="107"/>
      <c r="V4" s="107"/>
      <c r="W4" s="107"/>
      <c r="X4" s="107"/>
      <c r="Y4" s="107"/>
      <c r="Z4" s="110"/>
    </row>
    <row r="5" spans="1:26" ht="9" customHeight="1">
      <c r="A5" s="423"/>
      <c r="B5" s="423"/>
      <c r="C5" s="423"/>
      <c r="D5" s="423"/>
      <c r="E5" s="107"/>
      <c r="F5" s="227"/>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384</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228"/>
      <c r="G9" s="94"/>
      <c r="H9" s="209"/>
      <c r="I9" s="94"/>
      <c r="J9" s="94"/>
      <c r="K9" s="94"/>
    </row>
    <row r="10" spans="1:26">
      <c r="A10" s="424" t="s">
        <v>414</v>
      </c>
      <c r="B10" s="424"/>
      <c r="C10" s="424"/>
      <c r="D10" s="424"/>
      <c r="E10" s="424"/>
      <c r="F10" s="424"/>
      <c r="G10" s="424"/>
      <c r="H10" s="424"/>
      <c r="I10" s="424"/>
      <c r="J10" s="424"/>
      <c r="K10" s="424"/>
    </row>
    <row r="11" spans="1:26" ht="77.25" customHeight="1">
      <c r="A11" s="433" t="s">
        <v>364</v>
      </c>
      <c r="B11" s="434"/>
      <c r="C11" s="434"/>
      <c r="D11" s="434"/>
      <c r="E11" s="434"/>
      <c r="F11" s="434"/>
      <c r="G11" s="434"/>
      <c r="H11" s="434"/>
      <c r="I11" s="434"/>
      <c r="J11" s="434"/>
      <c r="K11" s="434"/>
    </row>
    <row r="12" spans="1:26" ht="92.25" customHeight="1">
      <c r="A12" s="433" t="s">
        <v>386</v>
      </c>
      <c r="B12" s="434"/>
      <c r="C12" s="434"/>
      <c r="D12" s="434"/>
      <c r="E12" s="434"/>
      <c r="F12" s="434"/>
      <c r="G12" s="434"/>
      <c r="H12" s="434"/>
      <c r="I12" s="434"/>
      <c r="J12" s="434"/>
      <c r="K12" s="434"/>
    </row>
    <row r="13" spans="1:26" ht="99" customHeight="1">
      <c r="A13" s="433" t="s">
        <v>387</v>
      </c>
      <c r="B13" s="433"/>
      <c r="C13" s="433"/>
      <c r="D13" s="433"/>
      <c r="E13" s="433"/>
      <c r="F13" s="433"/>
      <c r="G13" s="433"/>
      <c r="H13" s="433"/>
      <c r="I13" s="433"/>
      <c r="J13" s="433"/>
      <c r="K13" s="433"/>
    </row>
    <row r="14" spans="1:26" ht="57.75" customHeight="1">
      <c r="A14" s="433" t="s">
        <v>478</v>
      </c>
      <c r="B14" s="434"/>
      <c r="C14" s="434"/>
      <c r="D14" s="434"/>
      <c r="E14" s="434"/>
      <c r="F14" s="434"/>
      <c r="G14" s="434"/>
      <c r="H14" s="434"/>
      <c r="I14" s="434"/>
      <c r="J14" s="434"/>
      <c r="K14" s="434"/>
    </row>
    <row r="15" spans="1:26" ht="57.75" customHeight="1">
      <c r="A15" s="433" t="s">
        <v>388</v>
      </c>
      <c r="B15" s="434"/>
      <c r="C15" s="434"/>
      <c r="D15" s="434"/>
      <c r="E15" s="434"/>
      <c r="F15" s="434"/>
      <c r="G15" s="434"/>
      <c r="H15" s="434"/>
      <c r="I15" s="434"/>
      <c r="J15" s="434"/>
      <c r="K15" s="434"/>
    </row>
    <row r="16" spans="1:26" ht="39" customHeight="1">
      <c r="A16" s="433" t="s">
        <v>389</v>
      </c>
      <c r="B16" s="434"/>
      <c r="C16" s="434"/>
      <c r="D16" s="434"/>
      <c r="E16" s="434"/>
      <c r="F16" s="434"/>
      <c r="G16" s="434"/>
      <c r="H16" s="434"/>
      <c r="I16" s="434"/>
      <c r="J16" s="434"/>
      <c r="K16" s="434"/>
    </row>
    <row r="17" spans="1:16" ht="46.5" customHeight="1">
      <c r="A17" s="433" t="s">
        <v>415</v>
      </c>
      <c r="B17" s="433"/>
      <c r="C17" s="433"/>
      <c r="D17" s="433"/>
      <c r="E17" s="433"/>
      <c r="F17" s="433"/>
      <c r="G17" s="433"/>
      <c r="H17" s="433"/>
      <c r="I17" s="433"/>
      <c r="J17" s="433"/>
      <c r="K17" s="433"/>
    </row>
    <row r="18" spans="1:16" ht="59.25" customHeight="1">
      <c r="A18" s="433" t="s">
        <v>416</v>
      </c>
      <c r="B18" s="434"/>
      <c r="C18" s="434"/>
      <c r="D18" s="434"/>
      <c r="E18" s="434"/>
      <c r="F18" s="434"/>
      <c r="G18" s="434"/>
      <c r="H18" s="434"/>
      <c r="I18" s="434"/>
      <c r="J18" s="434"/>
      <c r="K18" s="434"/>
    </row>
    <row r="19" spans="1:16" ht="24.75" customHeight="1">
      <c r="A19" s="433" t="s">
        <v>417</v>
      </c>
      <c r="B19" s="434"/>
      <c r="C19" s="434"/>
      <c r="D19" s="434"/>
      <c r="E19" s="434"/>
      <c r="F19" s="434"/>
      <c r="G19" s="434"/>
      <c r="H19" s="434"/>
      <c r="I19" s="434"/>
      <c r="J19" s="434"/>
      <c r="K19" s="434"/>
    </row>
    <row r="20" spans="1:16" ht="27" customHeight="1">
      <c r="A20" s="459" t="s">
        <v>418</v>
      </c>
      <c r="B20" s="459"/>
      <c r="C20" s="459"/>
      <c r="D20" s="459"/>
      <c r="E20" s="459"/>
      <c r="F20" s="459"/>
      <c r="G20" s="459"/>
      <c r="H20" s="459"/>
      <c r="I20" s="459"/>
      <c r="J20" s="459"/>
      <c r="K20" s="459"/>
    </row>
    <row r="21" spans="1:16">
      <c r="A21" s="414" t="s">
        <v>205</v>
      </c>
      <c r="B21" s="414"/>
      <c r="C21" s="414"/>
      <c r="D21" s="414"/>
      <c r="E21" s="414"/>
      <c r="F21" s="414"/>
      <c r="G21" s="414"/>
      <c r="H21" s="414"/>
      <c r="I21" s="48"/>
      <c r="J21" s="48"/>
      <c r="K21" s="48"/>
    </row>
    <row r="22" spans="1:16">
      <c r="A22" s="414" t="s">
        <v>460</v>
      </c>
      <c r="B22" s="414"/>
      <c r="C22" s="414"/>
      <c r="D22" s="414"/>
      <c r="E22" s="414"/>
      <c r="F22" s="414"/>
      <c r="G22" s="414"/>
      <c r="H22" s="414"/>
      <c r="I22" s="414"/>
      <c r="J22" s="414"/>
      <c r="K22" s="414"/>
    </row>
    <row r="23" spans="1:16">
      <c r="A23" s="414" t="s">
        <v>461</v>
      </c>
      <c r="B23" s="414"/>
      <c r="C23" s="414"/>
      <c r="D23" s="414"/>
      <c r="E23" s="414"/>
      <c r="F23" s="414"/>
      <c r="G23" s="414"/>
      <c r="H23" s="414"/>
      <c r="I23" s="414"/>
      <c r="J23" s="414"/>
      <c r="K23" s="414"/>
    </row>
    <row r="24" spans="1:16" ht="21" customHeight="1">
      <c r="A24" s="395" t="s">
        <v>462</v>
      </c>
      <c r="B24" s="395"/>
      <c r="C24" s="395"/>
      <c r="D24" s="395"/>
      <c r="E24" s="395"/>
      <c r="F24" s="395" t="s">
        <v>396</v>
      </c>
      <c r="G24" s="395"/>
      <c r="H24" s="395"/>
      <c r="I24" s="50"/>
      <c r="J24" s="50"/>
      <c r="K24" s="50"/>
    </row>
    <row r="25" spans="1:16">
      <c r="A25" s="395" t="s">
        <v>397</v>
      </c>
      <c r="B25" s="395"/>
      <c r="C25" s="395"/>
      <c r="D25" s="395"/>
      <c r="E25" s="395"/>
      <c r="F25" s="395"/>
      <c r="G25" s="395"/>
      <c r="H25" s="422" t="s">
        <v>119</v>
      </c>
      <c r="I25" s="422"/>
      <c r="J25" s="292" t="s">
        <v>463</v>
      </c>
      <c r="K25" s="50"/>
    </row>
    <row r="26" spans="1:16" ht="20.25" customHeight="1">
      <c r="A26" s="395" t="s">
        <v>399</v>
      </c>
      <c r="B26" s="395"/>
      <c r="C26" s="395"/>
      <c r="D26" s="395"/>
      <c r="E26" s="395"/>
      <c r="F26" s="395"/>
      <c r="G26" s="395"/>
      <c r="H26" s="395"/>
      <c r="I26" s="395"/>
      <c r="J26" s="395"/>
      <c r="K26" s="395"/>
    </row>
    <row r="27" spans="1:16" ht="20.25" customHeight="1">
      <c r="A27" s="395" t="s">
        <v>120</v>
      </c>
      <c r="B27" s="395"/>
      <c r="C27" s="395"/>
      <c r="D27" s="395"/>
      <c r="E27" s="395"/>
      <c r="F27" s="395"/>
      <c r="G27" s="395"/>
      <c r="H27" s="210">
        <v>6</v>
      </c>
      <c r="I27" s="395" t="s">
        <v>121</v>
      </c>
      <c r="J27" s="395"/>
      <c r="K27" s="50"/>
      <c r="L27" s="48"/>
      <c r="M27" s="48"/>
      <c r="O27" s="48"/>
      <c r="P27" s="48"/>
    </row>
    <row r="28" spans="1:16">
      <c r="A28" s="414" t="s">
        <v>424</v>
      </c>
      <c r="B28" s="414"/>
      <c r="C28" s="414"/>
      <c r="D28" s="414"/>
      <c r="E28" s="414"/>
      <c r="F28" s="414"/>
      <c r="G28" s="199"/>
      <c r="H28" s="211"/>
      <c r="I28" s="51"/>
      <c r="J28" s="51"/>
      <c r="K28" s="51"/>
    </row>
    <row r="29" spans="1:16" ht="38.25" customHeight="1">
      <c r="A29" s="394" t="s">
        <v>464</v>
      </c>
      <c r="B29" s="394"/>
      <c r="C29" s="394"/>
      <c r="D29" s="394"/>
      <c r="E29" s="394"/>
      <c r="F29" s="394"/>
      <c r="G29" s="394"/>
      <c r="H29" s="394"/>
      <c r="I29" s="394"/>
      <c r="J29" s="394"/>
      <c r="K29" s="394"/>
    </row>
    <row r="30" spans="1:16" s="115" customFormat="1" ht="42" customHeight="1">
      <c r="A30" s="426" t="s">
        <v>123</v>
      </c>
      <c r="B30" s="426"/>
      <c r="C30" s="426"/>
      <c r="D30" s="426"/>
      <c r="E30" s="426"/>
      <c r="F30" s="293">
        <v>145.6</v>
      </c>
      <c r="G30" s="200" t="s">
        <v>427</v>
      </c>
      <c r="H30" s="212"/>
      <c r="I30" s="114"/>
      <c r="J30" s="114"/>
      <c r="K30" s="114"/>
    </row>
    <row r="31" spans="1:16">
      <c r="A31" s="395" t="s">
        <v>124</v>
      </c>
      <c r="B31" s="395"/>
      <c r="C31" s="395"/>
      <c r="D31" s="395"/>
      <c r="E31" s="395"/>
      <c r="F31" s="242">
        <v>145.6</v>
      </c>
      <c r="G31" s="47" t="s">
        <v>428</v>
      </c>
      <c r="H31" s="396" t="s">
        <v>125</v>
      </c>
      <c r="I31" s="396"/>
      <c r="J31" s="50"/>
      <c r="K31" s="50"/>
    </row>
    <row r="32" spans="1:16" s="120" customFormat="1" ht="40.5" customHeight="1">
      <c r="A32" s="117"/>
      <c r="B32" s="399" t="s">
        <v>126</v>
      </c>
      <c r="C32" s="399"/>
      <c r="D32" s="399"/>
      <c r="E32" s="118"/>
      <c r="F32" s="243">
        <v>3.1</v>
      </c>
      <c r="G32" s="190" t="s">
        <v>429</v>
      </c>
      <c r="H32" s="397" t="str">
        <f>"(Chiếm "&amp;N59&amp;"% Tổng diện tích đất nông nghiệp được giao đang sử dụng)"</f>
        <v>(Chiếm 2,13% Tổng diện tích đất nông nghiệp được giao đang sử dụng)</v>
      </c>
      <c r="I32" s="397"/>
      <c r="J32" s="397"/>
      <c r="K32" s="397"/>
    </row>
    <row r="33" spans="1:11" s="120" customFormat="1">
      <c r="A33" s="117"/>
      <c r="B33" s="399" t="s">
        <v>127</v>
      </c>
      <c r="C33" s="399"/>
      <c r="D33" s="399"/>
      <c r="E33" s="121"/>
      <c r="F33" s="243">
        <f>+F31-F32</f>
        <v>142.5</v>
      </c>
      <c r="G33" s="190" t="s">
        <v>429</v>
      </c>
      <c r="H33" s="213"/>
      <c r="I33" s="122"/>
      <c r="J33" s="122"/>
      <c r="K33" s="122"/>
    </row>
    <row r="34" spans="1:11" ht="175.5" customHeight="1">
      <c r="A34" s="462" t="s">
        <v>465</v>
      </c>
      <c r="B34" s="462"/>
      <c r="C34" s="462"/>
      <c r="D34" s="462"/>
      <c r="E34" s="462"/>
      <c r="F34" s="462"/>
      <c r="G34" s="462"/>
      <c r="H34" s="462"/>
      <c r="I34" s="462"/>
      <c r="J34" s="462"/>
      <c r="K34" s="462"/>
    </row>
    <row r="35" spans="1:11" ht="24" customHeight="1">
      <c r="A35" s="414" t="s">
        <v>206</v>
      </c>
      <c r="B35" s="414"/>
      <c r="C35" s="414"/>
      <c r="D35" s="414"/>
      <c r="E35" s="414"/>
      <c r="F35" s="414"/>
      <c r="G35" s="414"/>
      <c r="H35" s="414"/>
      <c r="I35" s="414"/>
      <c r="J35" s="414"/>
      <c r="K35" s="414"/>
    </row>
    <row r="36" spans="1:11" s="48" customFormat="1">
      <c r="A36" s="427" t="s">
        <v>128</v>
      </c>
      <c r="B36" s="427"/>
      <c r="C36" s="427"/>
      <c r="D36" s="427"/>
      <c r="E36" s="52"/>
      <c r="F36" s="230"/>
      <c r="G36" s="201"/>
      <c r="H36" s="214"/>
      <c r="I36" s="52"/>
      <c r="J36" s="53"/>
      <c r="K36" s="52"/>
    </row>
    <row r="37" spans="1:11" s="47" customFormat="1" ht="75.75" customHeight="1">
      <c r="A37" s="95" t="s">
        <v>129</v>
      </c>
      <c r="B37" s="403" t="s">
        <v>12</v>
      </c>
      <c r="C37" s="428"/>
      <c r="D37" s="95" t="s">
        <v>130</v>
      </c>
      <c r="E37" s="95" t="s">
        <v>131</v>
      </c>
      <c r="F37" s="429" t="s">
        <v>477</v>
      </c>
      <c r="G37" s="430"/>
      <c r="H37" s="215" t="s">
        <v>132</v>
      </c>
      <c r="I37" s="95" t="s">
        <v>133</v>
      </c>
      <c r="J37" s="96" t="s">
        <v>134</v>
      </c>
      <c r="K37" s="95" t="s">
        <v>6</v>
      </c>
    </row>
    <row r="38" spans="1:11" s="52" customFormat="1" ht="33" customHeight="1">
      <c r="A38" s="70">
        <v>1</v>
      </c>
      <c r="B38" s="431" t="s">
        <v>352</v>
      </c>
      <c r="C38" s="432"/>
      <c r="D38" s="65" t="s">
        <v>427</v>
      </c>
      <c r="E38" s="123">
        <f>F32</f>
        <v>3.1</v>
      </c>
      <c r="F38" s="392">
        <v>155000</v>
      </c>
      <c r="G38" s="393"/>
      <c r="H38" s="216"/>
      <c r="I38" s="67">
        <v>1</v>
      </c>
      <c r="J38" s="71">
        <f>E38*F38*I38</f>
        <v>480500</v>
      </c>
      <c r="K38" s="70"/>
    </row>
    <row r="39" spans="1:11" s="128" customFormat="1" ht="36" customHeight="1">
      <c r="A39" s="405" t="s">
        <v>136</v>
      </c>
      <c r="B39" s="405"/>
      <c r="C39" s="405"/>
      <c r="D39" s="405"/>
      <c r="E39" s="124">
        <f>SUM(E38:E38)</f>
        <v>3.1</v>
      </c>
      <c r="F39" s="405"/>
      <c r="G39" s="405"/>
      <c r="H39" s="217"/>
      <c r="I39" s="125"/>
      <c r="J39" s="126">
        <f>SUM(J38:J38)</f>
        <v>480500</v>
      </c>
      <c r="K39" s="127"/>
    </row>
    <row r="40" spans="1:11" s="47" customFormat="1">
      <c r="A40" s="448"/>
      <c r="B40" s="448"/>
      <c r="C40" s="448"/>
      <c r="D40" s="448"/>
      <c r="E40" s="448"/>
      <c r="F40" s="448"/>
      <c r="G40" s="448"/>
      <c r="H40" s="448"/>
      <c r="I40" s="448"/>
      <c r="J40" s="448"/>
      <c r="K40" s="448"/>
    </row>
    <row r="41" spans="1:11" s="129" customFormat="1" ht="37.5" customHeight="1">
      <c r="A41" s="407" t="s">
        <v>137</v>
      </c>
      <c r="B41" s="407"/>
      <c r="C41" s="407"/>
      <c r="D41" s="407"/>
      <c r="E41" s="407"/>
      <c r="F41" s="407"/>
      <c r="G41" s="407"/>
      <c r="H41" s="407"/>
      <c r="I41" s="407"/>
      <c r="J41" s="407"/>
      <c r="K41" s="407"/>
    </row>
    <row r="42" spans="1:11" s="130" customFormat="1" ht="48.75" customHeight="1">
      <c r="A42" s="95" t="s">
        <v>138</v>
      </c>
      <c r="B42" s="408" t="s">
        <v>430</v>
      </c>
      <c r="C42" s="409"/>
      <c r="D42" s="409"/>
      <c r="E42" s="409"/>
      <c r="F42" s="409"/>
      <c r="G42" s="409"/>
      <c r="H42" s="409"/>
      <c r="I42" s="409"/>
      <c r="J42" s="409"/>
      <c r="K42" s="410"/>
    </row>
    <row r="43" spans="1:11" ht="23.25" customHeight="1">
      <c r="A43" s="403" t="s">
        <v>129</v>
      </c>
      <c r="B43" s="403" t="s">
        <v>140</v>
      </c>
      <c r="C43" s="403" t="s">
        <v>141</v>
      </c>
      <c r="D43" s="403" t="s">
        <v>142</v>
      </c>
      <c r="E43" s="403"/>
      <c r="F43" s="403"/>
      <c r="G43" s="403" t="s">
        <v>143</v>
      </c>
      <c r="H43" s="330" t="s">
        <v>144</v>
      </c>
      <c r="I43" s="403" t="s">
        <v>133</v>
      </c>
      <c r="J43" s="404" t="s">
        <v>134</v>
      </c>
      <c r="K43" s="403" t="s">
        <v>6</v>
      </c>
    </row>
    <row r="44" spans="1:11" ht="36" customHeight="1">
      <c r="A44" s="403"/>
      <c r="B44" s="403"/>
      <c r="C44" s="403"/>
      <c r="D44" s="54" t="s">
        <v>145</v>
      </c>
      <c r="E44" s="54" t="s">
        <v>146</v>
      </c>
      <c r="F44" s="231" t="s">
        <v>165</v>
      </c>
      <c r="G44" s="403"/>
      <c r="H44" s="330"/>
      <c r="I44" s="403"/>
      <c r="J44" s="404"/>
      <c r="K44" s="403"/>
    </row>
    <row r="45" spans="1:11" ht="30.75" customHeight="1">
      <c r="A45" s="400">
        <v>1</v>
      </c>
      <c r="B45" s="412" t="s">
        <v>466</v>
      </c>
      <c r="C45" s="400" t="s">
        <v>427</v>
      </c>
      <c r="D45" s="295"/>
      <c r="E45" s="295">
        <v>1.58</v>
      </c>
      <c r="F45" s="232">
        <v>2.5299999999999998</v>
      </c>
      <c r="G45" s="236">
        <f>ROUND(F45*E45,2)</f>
        <v>4</v>
      </c>
      <c r="H45" s="223">
        <v>548400</v>
      </c>
      <c r="I45" s="238">
        <v>0</v>
      </c>
      <c r="J45" s="252">
        <f t="shared" ref="J45:J47" si="0">+G45*H45*I45</f>
        <v>0</v>
      </c>
      <c r="K45" s="70"/>
    </row>
    <row r="46" spans="1:11" ht="30.75" customHeight="1">
      <c r="A46" s="402"/>
      <c r="B46" s="413"/>
      <c r="C46" s="402"/>
      <c r="D46" s="295"/>
      <c r="E46" s="295">
        <v>1.4</v>
      </c>
      <c r="F46" s="232">
        <v>2.5299999999999998</v>
      </c>
      <c r="G46" s="236">
        <f>ROUND(F46*E46,2)</f>
        <v>3.54</v>
      </c>
      <c r="H46" s="223">
        <v>548400</v>
      </c>
      <c r="I46" s="238">
        <v>0</v>
      </c>
      <c r="J46" s="252">
        <f t="shared" si="0"/>
        <v>0</v>
      </c>
      <c r="K46" s="70"/>
    </row>
    <row r="47" spans="1:11" ht="30.75" customHeight="1">
      <c r="A47" s="70">
        <v>2</v>
      </c>
      <c r="B47" s="224" t="s">
        <v>447</v>
      </c>
      <c r="C47" s="70" t="s">
        <v>427</v>
      </c>
      <c r="D47" s="295">
        <v>1.58</v>
      </c>
      <c r="E47" s="295">
        <v>3.8</v>
      </c>
      <c r="F47" s="232"/>
      <c r="G47" s="236">
        <f t="shared" ref="G47" si="1">ROUND(D47*E47,2)</f>
        <v>6</v>
      </c>
      <c r="H47" s="223">
        <v>463300</v>
      </c>
      <c r="I47" s="238">
        <v>0</v>
      </c>
      <c r="J47" s="252">
        <f t="shared" si="0"/>
        <v>0</v>
      </c>
      <c r="K47" s="70"/>
    </row>
    <row r="48" spans="1:11" s="69" customFormat="1" ht="19.5">
      <c r="A48" s="440" t="s">
        <v>147</v>
      </c>
      <c r="B48" s="440"/>
      <c r="C48" s="440"/>
      <c r="D48" s="131"/>
      <c r="E48" s="132"/>
      <c r="F48" s="233"/>
      <c r="G48" s="202"/>
      <c r="H48" s="218"/>
      <c r="I48" s="58"/>
      <c r="J48" s="134">
        <v>0</v>
      </c>
      <c r="K48" s="135"/>
    </row>
    <row r="49" spans="1:15" s="69" customFormat="1" ht="34.5" customHeight="1">
      <c r="A49" s="95" t="s">
        <v>148</v>
      </c>
      <c r="B49" s="408" t="s">
        <v>406</v>
      </c>
      <c r="C49" s="409"/>
      <c r="D49" s="409"/>
      <c r="E49" s="409"/>
      <c r="F49" s="409"/>
      <c r="G49" s="409"/>
      <c r="H49" s="409"/>
      <c r="I49" s="409"/>
      <c r="J49" s="409"/>
      <c r="K49" s="410"/>
    </row>
    <row r="50" spans="1:15" s="69" customFormat="1" ht="61.5" customHeight="1">
      <c r="A50" s="56" t="s">
        <v>129</v>
      </c>
      <c r="B50" s="56" t="s">
        <v>149</v>
      </c>
      <c r="C50" s="56" t="s">
        <v>141</v>
      </c>
      <c r="D50" s="415" t="s">
        <v>150</v>
      </c>
      <c r="E50" s="416"/>
      <c r="F50" s="417"/>
      <c r="G50" s="57" t="s">
        <v>151</v>
      </c>
      <c r="H50" s="219" t="s">
        <v>144</v>
      </c>
      <c r="I50" s="58" t="s">
        <v>133</v>
      </c>
      <c r="J50" s="59" t="s">
        <v>134</v>
      </c>
      <c r="K50" s="56" t="s">
        <v>6</v>
      </c>
    </row>
    <row r="51" spans="1:15" s="47" customFormat="1">
      <c r="A51" s="403" t="s">
        <v>147</v>
      </c>
      <c r="B51" s="403"/>
      <c r="C51" s="403"/>
      <c r="D51" s="403"/>
      <c r="E51" s="403"/>
      <c r="F51" s="403"/>
      <c r="G51" s="95"/>
      <c r="H51" s="217"/>
      <c r="I51" s="137"/>
      <c r="J51" s="138">
        <v>0</v>
      </c>
      <c r="K51" s="70"/>
    </row>
    <row r="52" spans="1:15" s="47" customFormat="1">
      <c r="A52" s="403" t="s">
        <v>152</v>
      </c>
      <c r="B52" s="403"/>
      <c r="C52" s="403"/>
      <c r="D52" s="403"/>
      <c r="E52" s="403"/>
      <c r="F52" s="403"/>
      <c r="G52" s="403"/>
      <c r="H52" s="403"/>
      <c r="I52" s="403"/>
      <c r="J52" s="138">
        <f>J51+J48</f>
        <v>0</v>
      </c>
      <c r="K52" s="70"/>
    </row>
    <row r="53" spans="1:15" ht="24.95" customHeight="1">
      <c r="A53" s="414" t="s">
        <v>153</v>
      </c>
      <c r="B53" s="414"/>
      <c r="C53" s="414"/>
    </row>
    <row r="54" spans="1:15" ht="58.5" customHeight="1">
      <c r="A54" s="95" t="s">
        <v>129</v>
      </c>
      <c r="B54" s="415" t="s">
        <v>154</v>
      </c>
      <c r="C54" s="416"/>
      <c r="D54" s="416"/>
      <c r="E54" s="417"/>
      <c r="F54" s="235" t="s">
        <v>130</v>
      </c>
      <c r="G54" s="95" t="s">
        <v>151</v>
      </c>
      <c r="H54" s="222" t="s">
        <v>144</v>
      </c>
      <c r="I54" s="61" t="s">
        <v>434</v>
      </c>
      <c r="J54" s="96" t="s">
        <v>134</v>
      </c>
      <c r="K54" s="95" t="s">
        <v>6</v>
      </c>
    </row>
    <row r="55" spans="1:15" ht="99.75" customHeight="1">
      <c r="A55" s="70">
        <v>1</v>
      </c>
      <c r="B55" s="439" t="s">
        <v>156</v>
      </c>
      <c r="C55" s="439"/>
      <c r="D55" s="439"/>
      <c r="E55" s="439"/>
      <c r="F55" s="236" t="s">
        <v>427</v>
      </c>
      <c r="G55" s="139">
        <f>F32</f>
        <v>3.1</v>
      </c>
      <c r="H55" s="223">
        <f>155000*5</f>
        <v>775000</v>
      </c>
      <c r="I55" s="67">
        <v>1</v>
      </c>
      <c r="J55" s="136">
        <f t="shared" ref="J55" si="2">ROUND(G55*H55*I55,2)</f>
        <v>2402500</v>
      </c>
      <c r="K55" s="62" t="s">
        <v>157</v>
      </c>
    </row>
    <row r="56" spans="1:15" ht="77.25" customHeight="1">
      <c r="A56" s="70">
        <v>2</v>
      </c>
      <c r="B56" s="439" t="s">
        <v>435</v>
      </c>
      <c r="C56" s="439"/>
      <c r="D56" s="439"/>
      <c r="E56" s="439"/>
      <c r="F56" s="236" t="s">
        <v>158</v>
      </c>
      <c r="G56" s="297">
        <f>+H27</f>
        <v>6</v>
      </c>
      <c r="H56" s="298">
        <f>30*16000</f>
        <v>480000</v>
      </c>
      <c r="I56" s="297">
        <v>1</v>
      </c>
      <c r="J56" s="140">
        <f>+G56*H56*I56</f>
        <v>2880000</v>
      </c>
      <c r="K56" s="299" t="str">
        <f>IF(N59&lt;10,"Thu hồi dưới 10% hỗ trợ 01 tháng",IF(N59&lt;20,"Thu hồi từ 10% dến dưới 20% hỗ trợ 02 tháng",IF(N59&lt;30,"Thu hồi từ 20% đến dưới 30% hỗ trợ 03 tháng",IF(N59&lt;=70,"Thu hồi từ 30% đến 70% hỗ trợ 06 tháng","Thu hồi trên 70% hỗ trợ 12 tháng"))))</f>
        <v>Thu hồi dưới 10% hỗ trợ 01 tháng</v>
      </c>
    </row>
    <row r="57" spans="1:15" s="47" customFormat="1" ht="83.25" customHeight="1">
      <c r="A57" s="70">
        <v>3</v>
      </c>
      <c r="B57" s="439" t="s">
        <v>436</v>
      </c>
      <c r="C57" s="439"/>
      <c r="D57" s="439"/>
      <c r="E57" s="439"/>
      <c r="F57" s="236" t="s">
        <v>427</v>
      </c>
      <c r="G57" s="141">
        <f>F32</f>
        <v>3.1</v>
      </c>
      <c r="H57" s="223">
        <v>3000</v>
      </c>
      <c r="I57" s="67">
        <v>1</v>
      </c>
      <c r="J57" s="140">
        <f>IF(G57*H57*I57&gt;=3000000,3000000,G57*H57*I57)</f>
        <v>9300</v>
      </c>
      <c r="K57" s="65"/>
    </row>
    <row r="58" spans="1:15" ht="36.75" customHeight="1">
      <c r="A58" s="403" t="s">
        <v>136</v>
      </c>
      <c r="B58" s="403"/>
      <c r="C58" s="403"/>
      <c r="D58" s="403"/>
      <c r="E58" s="403"/>
      <c r="F58" s="403"/>
      <c r="G58" s="403"/>
      <c r="H58" s="403"/>
      <c r="I58" s="403"/>
      <c r="J58" s="138">
        <f>SUM(J55:J57)</f>
        <v>5291800</v>
      </c>
      <c r="K58" s="66"/>
    </row>
    <row r="59" spans="1:15">
      <c r="A59" s="438" t="s">
        <v>160</v>
      </c>
      <c r="B59" s="438"/>
      <c r="C59" s="438"/>
      <c r="D59" s="438"/>
      <c r="E59" s="438"/>
      <c r="F59" s="438"/>
      <c r="G59" s="435">
        <f>J39+J52+J58</f>
        <v>5772300</v>
      </c>
      <c r="H59" s="435"/>
      <c r="I59" s="142" t="s">
        <v>161</v>
      </c>
      <c r="K59" s="128"/>
      <c r="N59" s="64">
        <f>ROUND(F32/F30%,2)</f>
        <v>2.13</v>
      </c>
      <c r="O59" s="143">
        <f>H27</f>
        <v>6</v>
      </c>
    </row>
    <row r="60" spans="1:15" ht="24.75" customHeight="1">
      <c r="B60" s="105" t="s">
        <v>178</v>
      </c>
      <c r="C60" s="436" t="str">
        <f>[1]!VND(G59)</f>
        <v>Năm triệu, bảy trăm bảy mươi hai nghìn, ba trăm đồng chẵn.</v>
      </c>
      <c r="D60" s="436"/>
      <c r="E60" s="436"/>
      <c r="F60" s="436"/>
      <c r="G60" s="436"/>
      <c r="H60" s="436"/>
      <c r="I60" s="436"/>
      <c r="J60" s="436"/>
      <c r="K60" s="436"/>
    </row>
    <row r="61" spans="1:15" s="128" customFormat="1" ht="2.25" hidden="1" customHeight="1">
      <c r="A61" s="47"/>
      <c r="B61" s="49"/>
      <c r="C61" s="49"/>
      <c r="D61" s="49"/>
      <c r="E61" s="49"/>
      <c r="F61" s="234"/>
      <c r="G61" s="203"/>
      <c r="H61" s="221"/>
      <c r="I61" s="49"/>
      <c r="J61" s="60"/>
      <c r="K61" s="49"/>
    </row>
    <row r="62" spans="1:15" s="128" customFormat="1">
      <c r="A62" s="47"/>
      <c r="B62" s="49"/>
      <c r="C62" s="49"/>
      <c r="D62" s="49"/>
      <c r="E62" s="49"/>
      <c r="F62" s="234"/>
      <c r="G62" s="203"/>
      <c r="H62" s="221"/>
      <c r="I62" s="49"/>
      <c r="J62" s="60"/>
      <c r="K62" s="49"/>
    </row>
  </sheetData>
  <mergeCells count="78">
    <mergeCell ref="A1:D1"/>
    <mergeCell ref="E1:K1"/>
    <mergeCell ref="A2:D2"/>
    <mergeCell ref="E2:K2"/>
    <mergeCell ref="A4:D4"/>
    <mergeCell ref="H4:K4"/>
    <mergeCell ref="A18:K18"/>
    <mergeCell ref="A5:D5"/>
    <mergeCell ref="B6:K6"/>
    <mergeCell ref="A7:K7"/>
    <mergeCell ref="A8:K8"/>
    <mergeCell ref="A10:K10"/>
    <mergeCell ref="A11:K11"/>
    <mergeCell ref="A14:K14"/>
    <mergeCell ref="A12:K12"/>
    <mergeCell ref="A13:K13"/>
    <mergeCell ref="A15:K15"/>
    <mergeCell ref="A16:K16"/>
    <mergeCell ref="A17:K17"/>
    <mergeCell ref="A28:F28"/>
    <mergeCell ref="A19:K19"/>
    <mergeCell ref="A20:K20"/>
    <mergeCell ref="A21:H21"/>
    <mergeCell ref="A22:K22"/>
    <mergeCell ref="A23:K23"/>
    <mergeCell ref="A24:E24"/>
    <mergeCell ref="F24:H24"/>
    <mergeCell ref="A25:G25"/>
    <mergeCell ref="H25:I25"/>
    <mergeCell ref="A26:K26"/>
    <mergeCell ref="A27:G27"/>
    <mergeCell ref="I27:J27"/>
    <mergeCell ref="A29:K29"/>
    <mergeCell ref="A30:E30"/>
    <mergeCell ref="A31:E31"/>
    <mergeCell ref="H31:I31"/>
    <mergeCell ref="B32:D32"/>
    <mergeCell ref="H32:K32"/>
    <mergeCell ref="A41:K41"/>
    <mergeCell ref="B33:D33"/>
    <mergeCell ref="A34:K34"/>
    <mergeCell ref="A35:K35"/>
    <mergeCell ref="A36:D36"/>
    <mergeCell ref="B37:C37"/>
    <mergeCell ref="F37:G37"/>
    <mergeCell ref="B38:C38"/>
    <mergeCell ref="F38:G38"/>
    <mergeCell ref="A39:D39"/>
    <mergeCell ref="F39:G39"/>
    <mergeCell ref="A40:K40"/>
    <mergeCell ref="D50:F50"/>
    <mergeCell ref="B42:K42"/>
    <mergeCell ref="A43:A44"/>
    <mergeCell ref="B43:B44"/>
    <mergeCell ref="C43:C44"/>
    <mergeCell ref="D43:F43"/>
    <mergeCell ref="G43:G44"/>
    <mergeCell ref="H43:H44"/>
    <mergeCell ref="I43:I44"/>
    <mergeCell ref="J43:J44"/>
    <mergeCell ref="K43:K44"/>
    <mergeCell ref="A45:A46"/>
    <mergeCell ref="B45:B46"/>
    <mergeCell ref="C45:C46"/>
    <mergeCell ref="A48:C48"/>
    <mergeCell ref="B49:K49"/>
    <mergeCell ref="C60:K60"/>
    <mergeCell ref="A51:C51"/>
    <mergeCell ref="D51:F51"/>
    <mergeCell ref="A52:I52"/>
    <mergeCell ref="A53:C53"/>
    <mergeCell ref="B54:E54"/>
    <mergeCell ref="B55:E55"/>
    <mergeCell ref="B56:E56"/>
    <mergeCell ref="B57:E57"/>
    <mergeCell ref="A58:I58"/>
    <mergeCell ref="A59:F59"/>
    <mergeCell ref="G59:H59"/>
  </mergeCells>
  <printOptions horizontalCentered="1"/>
  <pageMargins left="0.354329615048119" right="0.19684930008748908" top="0.31496062992125984" bottom="0.27558945756780401" header="0.31496062992125984" footer="0.15748031496062992"/>
  <pageSetup paperSize="9"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1"/>
  <sheetViews>
    <sheetView workbookViewId="0"/>
  </sheetViews>
  <sheetFormatPr defaultRowHeight="18.75"/>
  <cols>
    <col min="1" max="1" width="4.625" style="165" customWidth="1"/>
    <col min="2" max="2" width="36.25" style="180" customWidth="1"/>
    <col min="3" max="3" width="36.25" style="180" hidden="1" customWidth="1"/>
    <col min="4" max="4" width="20" style="180" customWidth="1"/>
    <col min="5" max="5" width="20.875" style="165" customWidth="1"/>
    <col min="6" max="6" width="20.875" style="165" hidden="1" customWidth="1"/>
    <col min="7" max="8" width="20.875" style="181" hidden="1" customWidth="1"/>
    <col min="9" max="9" width="8.875" style="165" customWidth="1"/>
    <col min="10" max="10" width="15.5" style="165" bestFit="1" customWidth="1"/>
    <col min="11" max="11" width="11.125" style="165" customWidth="1"/>
    <col min="12" max="12" width="11.875" style="165" customWidth="1"/>
    <col min="13" max="13" width="12.375" style="165" customWidth="1"/>
    <col min="14" max="14" width="8.5" style="165" customWidth="1"/>
    <col min="15" max="16" width="12.25" style="182" hidden="1" customWidth="1"/>
    <col min="17" max="17" width="10.625" style="165" hidden="1" customWidth="1"/>
    <col min="18" max="18" width="16.875" style="180" hidden="1" customWidth="1"/>
    <col min="19" max="19" width="17.5" style="180" hidden="1" customWidth="1"/>
    <col min="20" max="21" width="11.25" style="180" hidden="1" customWidth="1"/>
    <col min="22" max="22" width="16.875" style="180" hidden="1" customWidth="1"/>
    <col min="23" max="23" width="13.25" style="183" hidden="1" customWidth="1"/>
    <col min="24" max="24" width="13.25" style="180" hidden="1" customWidth="1"/>
    <col min="25" max="26" width="16.875" style="180" hidden="1" customWidth="1"/>
    <col min="27" max="27" width="8.125" style="180" hidden="1" customWidth="1"/>
    <col min="28" max="28" width="20.5" style="180" customWidth="1"/>
    <col min="29" max="29" width="18.5" style="166" bestFit="1" customWidth="1"/>
    <col min="30" max="30" width="12.5" style="166" bestFit="1" customWidth="1"/>
    <col min="31" max="16384" width="9" style="166"/>
  </cols>
  <sheetData>
    <row r="1" spans="1:28" ht="61.5" customHeight="1">
      <c r="B1" s="332" t="s">
        <v>42</v>
      </c>
      <c r="C1" s="332"/>
      <c r="D1" s="332"/>
      <c r="E1" s="2"/>
      <c r="F1" s="2"/>
      <c r="G1" s="29"/>
      <c r="H1" s="29"/>
      <c r="I1" s="2"/>
      <c r="J1" s="332" t="s">
        <v>0</v>
      </c>
      <c r="K1" s="333"/>
      <c r="L1" s="333"/>
      <c r="M1" s="333"/>
      <c r="N1" s="333"/>
      <c r="O1" s="333"/>
      <c r="P1" s="333"/>
      <c r="Q1" s="333"/>
      <c r="R1" s="333"/>
      <c r="S1" s="333"/>
      <c r="T1" s="333"/>
      <c r="U1" s="333"/>
      <c r="V1" s="333"/>
      <c r="W1" s="333"/>
      <c r="X1" s="333"/>
      <c r="Y1" s="333"/>
      <c r="Z1" s="333"/>
      <c r="AA1" s="333"/>
      <c r="AB1" s="333"/>
    </row>
    <row r="2" spans="1:28">
      <c r="A2" s="334" t="s">
        <v>202</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row>
    <row r="3" spans="1:28">
      <c r="A3" s="334" t="s">
        <v>203</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row>
    <row r="4" spans="1:28" s="3" customFormat="1" ht="26.25" customHeight="1">
      <c r="A4" s="336" t="s">
        <v>204</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row>
    <row r="5" spans="1:28" s="4" customFormat="1" ht="18.75" customHeight="1">
      <c r="A5" s="359"/>
      <c r="B5" s="360"/>
      <c r="C5" s="360"/>
      <c r="D5" s="360"/>
      <c r="E5" s="360"/>
      <c r="F5" s="360"/>
      <c r="G5" s="360"/>
      <c r="H5" s="359"/>
      <c r="I5" s="359"/>
      <c r="J5" s="359"/>
      <c r="K5" s="359"/>
      <c r="L5" s="359"/>
      <c r="M5" s="359"/>
      <c r="N5" s="359"/>
      <c r="O5" s="88"/>
      <c r="P5" s="88"/>
      <c r="Q5" s="72"/>
      <c r="R5" s="24"/>
      <c r="S5" s="24"/>
      <c r="T5" s="24"/>
      <c r="U5" s="24"/>
      <c r="V5" s="24"/>
      <c r="W5" s="106"/>
      <c r="X5" s="24"/>
      <c r="Y5" s="24"/>
      <c r="Z5" s="24"/>
      <c r="AA5" s="24"/>
      <c r="AB5" s="24"/>
    </row>
    <row r="6" spans="1:28" s="167" customFormat="1" ht="48.75" customHeight="1">
      <c r="A6" s="308" t="s">
        <v>1</v>
      </c>
      <c r="B6" s="308" t="s">
        <v>2</v>
      </c>
      <c r="C6" s="308" t="s">
        <v>95</v>
      </c>
      <c r="D6" s="308" t="s">
        <v>3</v>
      </c>
      <c r="E6" s="308" t="s">
        <v>4</v>
      </c>
      <c r="F6" s="308" t="s">
        <v>54</v>
      </c>
      <c r="G6" s="361" t="s">
        <v>55</v>
      </c>
      <c r="H6" s="361" t="s">
        <v>56</v>
      </c>
      <c r="I6" s="363" t="s">
        <v>5</v>
      </c>
      <c r="J6" s="364"/>
      <c r="K6" s="364"/>
      <c r="L6" s="364"/>
      <c r="M6" s="364"/>
      <c r="N6" s="365"/>
      <c r="O6" s="339" t="s">
        <v>164</v>
      </c>
      <c r="P6" s="339" t="s">
        <v>175</v>
      </c>
      <c r="Q6" s="308" t="s">
        <v>163</v>
      </c>
      <c r="R6" s="369" t="s">
        <v>44</v>
      </c>
      <c r="S6" s="337" t="s">
        <v>167</v>
      </c>
      <c r="T6" s="329" t="s">
        <v>168</v>
      </c>
      <c r="U6" s="371" t="s">
        <v>169</v>
      </c>
      <c r="V6" s="329" t="s">
        <v>170</v>
      </c>
      <c r="W6" s="344" t="s">
        <v>171</v>
      </c>
      <c r="X6" s="329" t="s">
        <v>172</v>
      </c>
      <c r="Y6" s="344" t="s">
        <v>174</v>
      </c>
      <c r="Z6" s="344" t="s">
        <v>173</v>
      </c>
      <c r="AA6" s="372" t="s">
        <v>176</v>
      </c>
      <c r="AB6" s="374" t="s">
        <v>6</v>
      </c>
    </row>
    <row r="7" spans="1:28" s="167" customFormat="1" ht="102.75" customHeight="1">
      <c r="A7" s="309"/>
      <c r="B7" s="309"/>
      <c r="C7" s="309"/>
      <c r="D7" s="309"/>
      <c r="E7" s="309"/>
      <c r="F7" s="309"/>
      <c r="G7" s="362"/>
      <c r="H7" s="362"/>
      <c r="I7" s="6" t="s">
        <v>7</v>
      </c>
      <c r="J7" s="6" t="s">
        <v>8</v>
      </c>
      <c r="K7" s="7" t="s">
        <v>9</v>
      </c>
      <c r="L7" s="7" t="s">
        <v>10</v>
      </c>
      <c r="M7" s="7" t="s">
        <v>11</v>
      </c>
      <c r="N7" s="7" t="s">
        <v>12</v>
      </c>
      <c r="O7" s="340"/>
      <c r="P7" s="340"/>
      <c r="Q7" s="309"/>
      <c r="R7" s="370"/>
      <c r="S7" s="337"/>
      <c r="T7" s="329"/>
      <c r="U7" s="371"/>
      <c r="V7" s="329"/>
      <c r="W7" s="344"/>
      <c r="X7" s="329"/>
      <c r="Y7" s="344"/>
      <c r="Z7" s="344"/>
      <c r="AA7" s="373"/>
      <c r="AB7" s="375"/>
    </row>
    <row r="8" spans="1:28" s="167" customFormat="1" ht="37.5">
      <c r="A8" s="186" t="s">
        <v>183</v>
      </c>
      <c r="B8" s="144" t="s">
        <v>184</v>
      </c>
      <c r="C8" s="186"/>
      <c r="D8" s="186"/>
      <c r="E8" s="186"/>
      <c r="F8" s="186"/>
      <c r="G8" s="187"/>
      <c r="H8" s="187"/>
      <c r="I8" s="6"/>
      <c r="J8" s="6"/>
      <c r="K8" s="157">
        <f>SUM(K9:K30)</f>
        <v>48403.399999999987</v>
      </c>
      <c r="L8" s="157">
        <f t="shared" ref="L8:M8" si="0">SUM(L9:L30)</f>
        <v>19784.899999999998</v>
      </c>
      <c r="M8" s="157">
        <f t="shared" si="0"/>
        <v>28618.5</v>
      </c>
      <c r="N8" s="8"/>
      <c r="O8" s="188"/>
      <c r="P8" s="188"/>
      <c r="Q8" s="186"/>
      <c r="R8" s="189"/>
      <c r="S8" s="158">
        <f>SUM(S9:S30)</f>
        <v>3066659500</v>
      </c>
      <c r="T8" s="158" t="e">
        <f t="shared" ref="T8:Z8" si="1">SUM(T9:T30)</f>
        <v>#REF!</v>
      </c>
      <c r="U8" s="158" t="e">
        <f t="shared" si="1"/>
        <v>#REF!</v>
      </c>
      <c r="V8" s="158">
        <f t="shared" si="1"/>
        <v>15333297500</v>
      </c>
      <c r="W8" s="158">
        <f t="shared" si="1"/>
        <v>158880000</v>
      </c>
      <c r="X8" s="158">
        <f t="shared" si="1"/>
        <v>43310700</v>
      </c>
      <c r="Y8" s="158">
        <f t="shared" si="1"/>
        <v>15535488200</v>
      </c>
      <c r="Z8" s="158" t="e">
        <f t="shared" si="1"/>
        <v>#REF!</v>
      </c>
      <c r="AA8" s="184"/>
      <c r="AB8" s="185"/>
    </row>
    <row r="9" spans="1:28" s="168" customFormat="1" ht="38.25" customHeight="1">
      <c r="A9" s="9">
        <v>1</v>
      </c>
      <c r="B9" s="10" t="s">
        <v>13</v>
      </c>
      <c r="C9" s="10" t="s">
        <v>13</v>
      </c>
      <c r="D9" s="11" t="s">
        <v>14</v>
      </c>
      <c r="E9" s="12" t="s">
        <v>15</v>
      </c>
      <c r="F9" s="26" t="s">
        <v>57</v>
      </c>
      <c r="G9" s="30" t="s">
        <v>82</v>
      </c>
      <c r="H9" s="30" t="s">
        <v>83</v>
      </c>
      <c r="I9" s="9">
        <v>47</v>
      </c>
      <c r="J9" s="12">
        <v>2</v>
      </c>
      <c r="K9" s="13">
        <v>1814.4</v>
      </c>
      <c r="L9" s="14">
        <v>513.6</v>
      </c>
      <c r="M9" s="15">
        <f>K9-L9</f>
        <v>1300.8000000000002</v>
      </c>
      <c r="N9" s="16" t="s">
        <v>16</v>
      </c>
      <c r="O9" s="87">
        <v>1958.4</v>
      </c>
      <c r="P9" s="99">
        <f>L9/O9</f>
        <v>0.26225490196078433</v>
      </c>
      <c r="Q9" s="16">
        <v>5</v>
      </c>
      <c r="R9" s="17" t="s">
        <v>45</v>
      </c>
      <c r="S9" s="97">
        <f>L9*155000</f>
        <v>79608000</v>
      </c>
      <c r="T9" s="102">
        <f>' 1. Đỗ Văn Dân th13 + th12 t3'!J44</f>
        <v>0</v>
      </c>
      <c r="U9" s="103">
        <f>' 1. Đỗ Văn Dân th13 + th12 t3'!J65</f>
        <v>0</v>
      </c>
      <c r="V9" s="97">
        <f>L9*155000*5</f>
        <v>398040000</v>
      </c>
      <c r="W9" s="98">
        <f>IF(P9&lt;10%, 1*30*16000*Q9, IF(P9&lt;20%, 2*30*16000*Q9, IF(P9&lt;30%, 3*30*16000*Q9, IF(P9&lt;=70%, 6*30*16000*S9, 12*30*16000*S9))))</f>
        <v>7200000</v>
      </c>
      <c r="X9" s="100">
        <f>IF(L9*3000&gt;3000000,3000000,IF(L9*3000&lt;=3000000,L9*3000))</f>
        <v>1540800</v>
      </c>
      <c r="Y9" s="101">
        <f>V9+W9+X9</f>
        <v>406780800</v>
      </c>
      <c r="Z9" s="101">
        <f>T9+U9+S9+Y9</f>
        <v>486388800</v>
      </c>
      <c r="AA9" s="17" t="s">
        <v>177</v>
      </c>
      <c r="AB9" s="17"/>
    </row>
    <row r="10" spans="1:28" s="168" customFormat="1" ht="56.25">
      <c r="A10" s="9">
        <v>2</v>
      </c>
      <c r="B10" s="10" t="s">
        <v>17</v>
      </c>
      <c r="C10" s="10" t="s">
        <v>17</v>
      </c>
      <c r="D10" s="11" t="s">
        <v>108</v>
      </c>
      <c r="E10" s="12" t="s">
        <v>15</v>
      </c>
      <c r="F10" s="26" t="s">
        <v>58</v>
      </c>
      <c r="G10" s="30" t="s">
        <v>105</v>
      </c>
      <c r="H10" s="30" t="s">
        <v>106</v>
      </c>
      <c r="I10" s="9">
        <v>47</v>
      </c>
      <c r="J10" s="12">
        <v>3</v>
      </c>
      <c r="K10" s="13">
        <v>576.4</v>
      </c>
      <c r="L10" s="14">
        <v>139.69999999999999</v>
      </c>
      <c r="M10" s="15">
        <f t="shared" ref="M10:M34" si="2">K10-L10</f>
        <v>436.7</v>
      </c>
      <c r="N10" s="16" t="s">
        <v>16</v>
      </c>
      <c r="O10" s="87">
        <v>576.4</v>
      </c>
      <c r="P10" s="99">
        <f t="shared" ref="P10:P30" si="3">L10/O10</f>
        <v>0.24236641221374045</v>
      </c>
      <c r="Q10" s="16">
        <v>4</v>
      </c>
      <c r="R10" s="17" t="s">
        <v>45</v>
      </c>
      <c r="S10" s="97">
        <f t="shared" ref="S10:S30" si="4">L10*155000</f>
        <v>21653500</v>
      </c>
      <c r="T10" s="103" t="e">
        <f>#REF!</f>
        <v>#REF!</v>
      </c>
      <c r="U10" s="103" t="e">
        <f>#REF!</f>
        <v>#REF!</v>
      </c>
      <c r="V10" s="97">
        <f t="shared" ref="V10:V30" si="5">L10*155000*5</f>
        <v>108267500</v>
      </c>
      <c r="W10" s="98">
        <f t="shared" ref="W10:W18" si="6">IF(P10&lt;10%, 1*30*16000*Q10, IF(P10&lt;20%, 2*30*16000*Q10, IF(P10&lt;30%, 3*30*16000*Q10, IF(P10&lt;=70%, 6*30*16000*S10, 12*30*16000*S10))))</f>
        <v>5760000</v>
      </c>
      <c r="X10" s="100">
        <f t="shared" ref="X10:X30" si="7">IF(L10*3000&gt;3000000,3000000,IF(L10*3000&lt;=3000000,L10*3000))</f>
        <v>419099.99999999994</v>
      </c>
      <c r="Y10" s="101">
        <f t="shared" ref="Y10:Y30" si="8">V10+W10+X10</f>
        <v>114446600</v>
      </c>
      <c r="Z10" s="101" t="e">
        <f t="shared" ref="Z10:Z30" si="9">T10+U10+S10+Y10</f>
        <v>#REF!</v>
      </c>
      <c r="AA10" s="17" t="s">
        <v>177</v>
      </c>
      <c r="AB10" s="17"/>
    </row>
    <row r="11" spans="1:28" s="168" customFormat="1" ht="37.5">
      <c r="A11" s="9">
        <v>3</v>
      </c>
      <c r="B11" s="19" t="s">
        <v>19</v>
      </c>
      <c r="C11" s="19" t="s">
        <v>97</v>
      </c>
      <c r="D11" s="11" t="s">
        <v>14</v>
      </c>
      <c r="E11" s="12" t="s">
        <v>15</v>
      </c>
      <c r="F11" s="26" t="s">
        <v>60</v>
      </c>
      <c r="G11" s="30" t="s">
        <v>107</v>
      </c>
      <c r="H11" s="30" t="s">
        <v>83</v>
      </c>
      <c r="I11" s="9">
        <v>47</v>
      </c>
      <c r="J11" s="12">
        <v>6</v>
      </c>
      <c r="K11" s="13">
        <v>4262.5</v>
      </c>
      <c r="L11" s="14">
        <v>843.3</v>
      </c>
      <c r="M11" s="15">
        <f t="shared" si="2"/>
        <v>3419.2</v>
      </c>
      <c r="N11" s="16" t="s">
        <v>16</v>
      </c>
      <c r="O11" s="87">
        <v>4453.2</v>
      </c>
      <c r="P11" s="99">
        <f t="shared" si="3"/>
        <v>0.18936944219886823</v>
      </c>
      <c r="Q11" s="16">
        <v>2</v>
      </c>
      <c r="R11" s="17" t="s">
        <v>45</v>
      </c>
      <c r="S11" s="97">
        <f t="shared" si="4"/>
        <v>130711500</v>
      </c>
      <c r="T11" s="102">
        <v>0</v>
      </c>
      <c r="U11" s="103">
        <v>0</v>
      </c>
      <c r="V11" s="97">
        <f t="shared" si="5"/>
        <v>653557500</v>
      </c>
      <c r="W11" s="98">
        <f t="shared" si="6"/>
        <v>1920000</v>
      </c>
      <c r="X11" s="100">
        <f t="shared" si="7"/>
        <v>2529900</v>
      </c>
      <c r="Y11" s="101">
        <f t="shared" si="8"/>
        <v>658007400</v>
      </c>
      <c r="Z11" s="101">
        <f t="shared" si="9"/>
        <v>788718900</v>
      </c>
      <c r="AA11" s="17" t="s">
        <v>177</v>
      </c>
      <c r="AB11" s="17"/>
    </row>
    <row r="12" spans="1:28" s="169" customFormat="1" ht="38.25" customHeight="1">
      <c r="A12" s="9">
        <v>4</v>
      </c>
      <c r="B12" s="74" t="s">
        <v>20</v>
      </c>
      <c r="C12" s="74" t="s">
        <v>20</v>
      </c>
      <c r="D12" s="75" t="s">
        <v>14</v>
      </c>
      <c r="E12" s="76" t="s">
        <v>15</v>
      </c>
      <c r="F12" s="77" t="s">
        <v>61</v>
      </c>
      <c r="G12" s="78"/>
      <c r="H12" s="78"/>
      <c r="I12" s="73">
        <v>47</v>
      </c>
      <c r="J12" s="76">
        <v>11</v>
      </c>
      <c r="K12" s="79">
        <v>997.5</v>
      </c>
      <c r="L12" s="80">
        <v>532.4</v>
      </c>
      <c r="M12" s="15">
        <f t="shared" si="2"/>
        <v>465.1</v>
      </c>
      <c r="N12" s="82" t="s">
        <v>16</v>
      </c>
      <c r="O12" s="89">
        <v>3996</v>
      </c>
      <c r="P12" s="99">
        <f t="shared" si="3"/>
        <v>0.13323323323323322</v>
      </c>
      <c r="Q12" s="82">
        <v>2</v>
      </c>
      <c r="R12" s="83" t="s">
        <v>46</v>
      </c>
      <c r="S12" s="97">
        <f t="shared" si="4"/>
        <v>82522000</v>
      </c>
      <c r="T12" s="17">
        <v>0</v>
      </c>
      <c r="U12" s="83">
        <v>0</v>
      </c>
      <c r="V12" s="97">
        <f t="shared" si="5"/>
        <v>412610000</v>
      </c>
      <c r="W12" s="98">
        <f t="shared" si="6"/>
        <v>1920000</v>
      </c>
      <c r="X12" s="100">
        <f t="shared" si="7"/>
        <v>1597200</v>
      </c>
      <c r="Y12" s="101">
        <f t="shared" si="8"/>
        <v>416127200</v>
      </c>
      <c r="Z12" s="101">
        <f t="shared" si="9"/>
        <v>498649200</v>
      </c>
      <c r="AA12" s="17" t="s">
        <v>177</v>
      </c>
      <c r="AB12" s="83"/>
    </row>
    <row r="13" spans="1:28" s="169" customFormat="1" ht="38.25" customHeight="1">
      <c r="A13" s="9">
        <v>5</v>
      </c>
      <c r="B13" s="74" t="s">
        <v>21</v>
      </c>
      <c r="C13" s="74" t="s">
        <v>21</v>
      </c>
      <c r="D13" s="75" t="s">
        <v>14</v>
      </c>
      <c r="E13" s="76" t="s">
        <v>15</v>
      </c>
      <c r="F13" s="77" t="s">
        <v>62</v>
      </c>
      <c r="G13" s="78"/>
      <c r="H13" s="78"/>
      <c r="I13" s="73">
        <v>47</v>
      </c>
      <c r="J13" s="76">
        <v>12</v>
      </c>
      <c r="K13" s="79">
        <v>972.3</v>
      </c>
      <c r="L13" s="80">
        <v>541.20000000000005</v>
      </c>
      <c r="M13" s="15">
        <f>K13-L13</f>
        <v>431.09999999999991</v>
      </c>
      <c r="N13" s="82" t="s">
        <v>16</v>
      </c>
      <c r="O13" s="89">
        <v>2808</v>
      </c>
      <c r="P13" s="99">
        <f t="shared" si="3"/>
        <v>0.19273504273504274</v>
      </c>
      <c r="Q13" s="82">
        <v>7</v>
      </c>
      <c r="R13" s="83" t="s">
        <v>46</v>
      </c>
      <c r="S13" s="97">
        <f t="shared" si="4"/>
        <v>83886000</v>
      </c>
      <c r="T13" s="17">
        <v>0</v>
      </c>
      <c r="U13" s="83">
        <v>0</v>
      </c>
      <c r="V13" s="97">
        <f t="shared" si="5"/>
        <v>419430000</v>
      </c>
      <c r="W13" s="98">
        <f t="shared" si="6"/>
        <v>6720000</v>
      </c>
      <c r="X13" s="100">
        <f t="shared" si="7"/>
        <v>1623600.0000000002</v>
      </c>
      <c r="Y13" s="101">
        <f t="shared" si="8"/>
        <v>427773600</v>
      </c>
      <c r="Z13" s="101">
        <f t="shared" si="9"/>
        <v>511659600</v>
      </c>
      <c r="AA13" s="17" t="s">
        <v>177</v>
      </c>
      <c r="AB13" s="83"/>
    </row>
    <row r="14" spans="1:28" s="169" customFormat="1" ht="38.25" customHeight="1">
      <c r="A14" s="9">
        <v>6</v>
      </c>
      <c r="B14" s="74" t="s">
        <v>22</v>
      </c>
      <c r="C14" s="74" t="s">
        <v>22</v>
      </c>
      <c r="D14" s="75" t="s">
        <v>14</v>
      </c>
      <c r="E14" s="76" t="s">
        <v>15</v>
      </c>
      <c r="F14" s="77" t="s">
        <v>113</v>
      </c>
      <c r="G14" s="78"/>
      <c r="H14" s="78"/>
      <c r="I14" s="73">
        <v>47</v>
      </c>
      <c r="J14" s="76">
        <v>13</v>
      </c>
      <c r="K14" s="79">
        <v>1784.9</v>
      </c>
      <c r="L14" s="80">
        <v>1033.8</v>
      </c>
      <c r="M14" s="15">
        <f t="shared" si="2"/>
        <v>751.10000000000014</v>
      </c>
      <c r="N14" s="82" t="s">
        <v>16</v>
      </c>
      <c r="O14" s="89">
        <v>3459.6</v>
      </c>
      <c r="P14" s="99">
        <f t="shared" si="3"/>
        <v>0.29882067291016301</v>
      </c>
      <c r="Q14" s="82">
        <v>2</v>
      </c>
      <c r="R14" s="83" t="s">
        <v>46</v>
      </c>
      <c r="S14" s="97">
        <f t="shared" si="4"/>
        <v>160239000</v>
      </c>
      <c r="T14" s="17">
        <v>0</v>
      </c>
      <c r="U14" s="83">
        <v>0</v>
      </c>
      <c r="V14" s="97">
        <f t="shared" si="5"/>
        <v>801195000</v>
      </c>
      <c r="W14" s="98">
        <f t="shared" si="6"/>
        <v>2880000</v>
      </c>
      <c r="X14" s="100">
        <f t="shared" si="7"/>
        <v>3000000</v>
      </c>
      <c r="Y14" s="101">
        <f t="shared" si="8"/>
        <v>807075000</v>
      </c>
      <c r="Z14" s="101">
        <f t="shared" si="9"/>
        <v>967314000</v>
      </c>
      <c r="AA14" s="17" t="s">
        <v>177</v>
      </c>
      <c r="AB14" s="83"/>
    </row>
    <row r="15" spans="1:28" s="169" customFormat="1" ht="38.25" customHeight="1">
      <c r="A15" s="9">
        <v>7</v>
      </c>
      <c r="B15" s="74" t="s">
        <v>23</v>
      </c>
      <c r="C15" s="74" t="s">
        <v>23</v>
      </c>
      <c r="D15" s="75" t="s">
        <v>14</v>
      </c>
      <c r="E15" s="76" t="s">
        <v>15</v>
      </c>
      <c r="F15" s="77" t="s">
        <v>63</v>
      </c>
      <c r="G15" s="78"/>
      <c r="H15" s="78"/>
      <c r="I15" s="73">
        <v>47</v>
      </c>
      <c r="J15" s="76">
        <v>14</v>
      </c>
      <c r="K15" s="79">
        <v>144.1</v>
      </c>
      <c r="L15" s="80">
        <v>144.1</v>
      </c>
      <c r="M15" s="155">
        <f t="shared" si="2"/>
        <v>0</v>
      </c>
      <c r="N15" s="82" t="s">
        <v>16</v>
      </c>
      <c r="O15" s="89">
        <v>3614.4</v>
      </c>
      <c r="P15" s="99">
        <f t="shared" si="3"/>
        <v>3.9868304559539616E-2</v>
      </c>
      <c r="Q15" s="82">
        <v>5</v>
      </c>
      <c r="R15" s="83" t="s">
        <v>47</v>
      </c>
      <c r="S15" s="97">
        <f t="shared" si="4"/>
        <v>22335500</v>
      </c>
      <c r="T15" s="17">
        <v>0</v>
      </c>
      <c r="U15" s="83">
        <v>0</v>
      </c>
      <c r="V15" s="97">
        <f t="shared" si="5"/>
        <v>111677500</v>
      </c>
      <c r="W15" s="98">
        <f t="shared" si="6"/>
        <v>2400000</v>
      </c>
      <c r="X15" s="100">
        <f t="shared" si="7"/>
        <v>432300</v>
      </c>
      <c r="Y15" s="101">
        <f t="shared" si="8"/>
        <v>114509800</v>
      </c>
      <c r="Z15" s="101">
        <f t="shared" si="9"/>
        <v>136845300</v>
      </c>
      <c r="AA15" s="17" t="s">
        <v>177</v>
      </c>
      <c r="AB15" s="83"/>
    </row>
    <row r="16" spans="1:28" s="168" customFormat="1" ht="56.25">
      <c r="A16" s="9">
        <v>8</v>
      </c>
      <c r="B16" s="19" t="s">
        <v>24</v>
      </c>
      <c r="C16" s="19" t="s">
        <v>98</v>
      </c>
      <c r="D16" s="11" t="s">
        <v>14</v>
      </c>
      <c r="E16" s="12" t="s">
        <v>15</v>
      </c>
      <c r="F16" s="12"/>
      <c r="G16" s="28"/>
      <c r="H16" s="28"/>
      <c r="I16" s="9">
        <v>47</v>
      </c>
      <c r="J16" s="12">
        <v>15</v>
      </c>
      <c r="K16" s="13">
        <v>144.1</v>
      </c>
      <c r="L16" s="14">
        <v>144.1</v>
      </c>
      <c r="M16" s="155">
        <f t="shared" si="2"/>
        <v>0</v>
      </c>
      <c r="N16" s="16" t="s">
        <v>16</v>
      </c>
      <c r="O16" s="87">
        <v>3031.2</v>
      </c>
      <c r="P16" s="99">
        <f t="shared" si="3"/>
        <v>4.7538928477170755E-2</v>
      </c>
      <c r="Q16" s="16">
        <v>3</v>
      </c>
      <c r="R16" s="17" t="s">
        <v>47</v>
      </c>
      <c r="S16" s="97">
        <f t="shared" si="4"/>
        <v>22335500</v>
      </c>
      <c r="T16" s="17">
        <v>0</v>
      </c>
      <c r="U16" s="17">
        <v>0</v>
      </c>
      <c r="V16" s="97">
        <f t="shared" si="5"/>
        <v>111677500</v>
      </c>
      <c r="W16" s="98">
        <f t="shared" si="6"/>
        <v>1440000</v>
      </c>
      <c r="X16" s="100">
        <f t="shared" si="7"/>
        <v>432300</v>
      </c>
      <c r="Y16" s="101">
        <f t="shared" si="8"/>
        <v>113549800</v>
      </c>
      <c r="Z16" s="101">
        <f t="shared" si="9"/>
        <v>135885300</v>
      </c>
      <c r="AA16" s="17" t="s">
        <v>177</v>
      </c>
      <c r="AB16" s="17"/>
    </row>
    <row r="17" spans="1:28" s="169" customFormat="1" ht="56.25">
      <c r="A17" s="9">
        <v>9</v>
      </c>
      <c r="B17" s="86" t="s">
        <v>25</v>
      </c>
      <c r="C17" s="86" t="s">
        <v>99</v>
      </c>
      <c r="D17" s="75" t="s">
        <v>14</v>
      </c>
      <c r="E17" s="76" t="s">
        <v>15</v>
      </c>
      <c r="F17" s="76"/>
      <c r="G17" s="78"/>
      <c r="H17" s="78"/>
      <c r="I17" s="73">
        <v>47</v>
      </c>
      <c r="J17" s="76">
        <v>16</v>
      </c>
      <c r="K17" s="79">
        <v>72</v>
      </c>
      <c r="L17" s="80">
        <v>53.2</v>
      </c>
      <c r="M17" s="15">
        <f t="shared" si="2"/>
        <v>18.799999999999997</v>
      </c>
      <c r="N17" s="82" t="s">
        <v>16</v>
      </c>
      <c r="O17" s="89">
        <v>2289.6</v>
      </c>
      <c r="P17" s="99">
        <f t="shared" si="3"/>
        <v>2.3235499650593992E-2</v>
      </c>
      <c r="Q17" s="82">
        <v>5</v>
      </c>
      <c r="R17" s="83" t="s">
        <v>47</v>
      </c>
      <c r="S17" s="97">
        <f t="shared" si="4"/>
        <v>8246000</v>
      </c>
      <c r="T17" s="17">
        <v>0</v>
      </c>
      <c r="U17" s="83">
        <v>0</v>
      </c>
      <c r="V17" s="97">
        <f t="shared" si="5"/>
        <v>41230000</v>
      </c>
      <c r="W17" s="98">
        <f t="shared" si="6"/>
        <v>2400000</v>
      </c>
      <c r="X17" s="100">
        <f t="shared" si="7"/>
        <v>159600</v>
      </c>
      <c r="Y17" s="101">
        <f t="shared" si="8"/>
        <v>43789600</v>
      </c>
      <c r="Z17" s="101">
        <f t="shared" si="9"/>
        <v>52035600</v>
      </c>
      <c r="AA17" s="17" t="s">
        <v>177</v>
      </c>
      <c r="AB17" s="83"/>
    </row>
    <row r="18" spans="1:28" s="169" customFormat="1" ht="38.25" customHeight="1">
      <c r="A18" s="9">
        <v>10</v>
      </c>
      <c r="B18" s="74" t="s">
        <v>26</v>
      </c>
      <c r="C18" s="74" t="s">
        <v>26</v>
      </c>
      <c r="D18" s="75" t="s">
        <v>14</v>
      </c>
      <c r="E18" s="76" t="s">
        <v>15</v>
      </c>
      <c r="F18" s="77" t="s">
        <v>64</v>
      </c>
      <c r="G18" s="78"/>
      <c r="H18" s="78"/>
      <c r="I18" s="73">
        <v>47</v>
      </c>
      <c r="J18" s="76">
        <v>17</v>
      </c>
      <c r="K18" s="79">
        <v>1476.3</v>
      </c>
      <c r="L18" s="80">
        <v>890.6</v>
      </c>
      <c r="M18" s="15">
        <f t="shared" si="2"/>
        <v>585.69999999999993</v>
      </c>
      <c r="N18" s="82" t="s">
        <v>16</v>
      </c>
      <c r="O18" s="89">
        <v>3002.4</v>
      </c>
      <c r="P18" s="99">
        <f t="shared" si="3"/>
        <v>0.29662936317612576</v>
      </c>
      <c r="Q18" s="82">
        <v>2</v>
      </c>
      <c r="R18" s="83" t="s">
        <v>48</v>
      </c>
      <c r="S18" s="97">
        <f t="shared" si="4"/>
        <v>138043000</v>
      </c>
      <c r="T18" s="17">
        <v>0</v>
      </c>
      <c r="U18" s="83">
        <v>0</v>
      </c>
      <c r="V18" s="97">
        <f t="shared" si="5"/>
        <v>690215000</v>
      </c>
      <c r="W18" s="98">
        <f t="shared" si="6"/>
        <v>2880000</v>
      </c>
      <c r="X18" s="100">
        <f t="shared" si="7"/>
        <v>2671800</v>
      </c>
      <c r="Y18" s="101">
        <f t="shared" si="8"/>
        <v>695766800</v>
      </c>
      <c r="Z18" s="101">
        <f t="shared" si="9"/>
        <v>833809800</v>
      </c>
      <c r="AA18" s="17" t="s">
        <v>177</v>
      </c>
      <c r="AB18" s="83"/>
    </row>
    <row r="19" spans="1:28" s="168" customFormat="1" ht="38.25" customHeight="1">
      <c r="A19" s="9">
        <v>11</v>
      </c>
      <c r="B19" s="10" t="s">
        <v>28</v>
      </c>
      <c r="C19" s="10" t="s">
        <v>28</v>
      </c>
      <c r="D19" s="11" t="s">
        <v>14</v>
      </c>
      <c r="E19" s="12" t="s">
        <v>29</v>
      </c>
      <c r="F19" s="26" t="s">
        <v>60</v>
      </c>
      <c r="G19" s="30" t="s">
        <v>86</v>
      </c>
      <c r="H19" s="30" t="s">
        <v>77</v>
      </c>
      <c r="I19" s="9">
        <v>47</v>
      </c>
      <c r="J19" s="12">
        <v>23</v>
      </c>
      <c r="K19" s="13">
        <v>1828.8</v>
      </c>
      <c r="L19" s="14">
        <v>1828.8</v>
      </c>
      <c r="M19" s="155">
        <f t="shared" si="2"/>
        <v>0</v>
      </c>
      <c r="N19" s="16" t="s">
        <v>16</v>
      </c>
      <c r="O19" s="87">
        <v>2037.6</v>
      </c>
      <c r="P19" s="99">
        <f t="shared" si="3"/>
        <v>0.8975265017667845</v>
      </c>
      <c r="Q19" s="16">
        <v>3</v>
      </c>
      <c r="R19" s="17" t="s">
        <v>48</v>
      </c>
      <c r="S19" s="97">
        <f t="shared" si="4"/>
        <v>283464000</v>
      </c>
      <c r="T19" s="17">
        <v>0</v>
      </c>
      <c r="U19" s="83">
        <v>0</v>
      </c>
      <c r="V19" s="97">
        <f t="shared" si="5"/>
        <v>1417320000</v>
      </c>
      <c r="W19" s="98">
        <f>IF(P19&lt;10%, 1*30*16000*Q19, IF(P19&lt;20%, 2*30*16000*Q19, IF(P19&lt;30%, 3*30*16000*Q19, IF(P19&lt;=70%, 6*30*16000*Q19, 12*30*16000*Q19))))</f>
        <v>17280000</v>
      </c>
      <c r="X19" s="100">
        <f t="shared" si="7"/>
        <v>3000000</v>
      </c>
      <c r="Y19" s="101">
        <f t="shared" si="8"/>
        <v>1437600000</v>
      </c>
      <c r="Z19" s="101">
        <f t="shared" si="9"/>
        <v>1721064000</v>
      </c>
      <c r="AA19" s="17" t="s">
        <v>177</v>
      </c>
      <c r="AB19" s="17"/>
    </row>
    <row r="20" spans="1:28" s="168" customFormat="1" ht="38.25" customHeight="1">
      <c r="A20" s="9">
        <v>12</v>
      </c>
      <c r="B20" s="10" t="s">
        <v>30</v>
      </c>
      <c r="C20" s="10" t="s">
        <v>30</v>
      </c>
      <c r="D20" s="11" t="s">
        <v>14</v>
      </c>
      <c r="E20" s="12" t="s">
        <v>29</v>
      </c>
      <c r="F20" s="26" t="s">
        <v>65</v>
      </c>
      <c r="G20" s="30" t="s">
        <v>87</v>
      </c>
      <c r="H20" s="30" t="s">
        <v>88</v>
      </c>
      <c r="I20" s="9">
        <v>47</v>
      </c>
      <c r="J20" s="12">
        <v>25</v>
      </c>
      <c r="K20" s="13">
        <v>4201</v>
      </c>
      <c r="L20" s="14">
        <v>1020.5</v>
      </c>
      <c r="M20" s="15">
        <f t="shared" si="2"/>
        <v>3180.5</v>
      </c>
      <c r="N20" s="16" t="s">
        <v>16</v>
      </c>
      <c r="O20" s="87">
        <v>4492.8</v>
      </c>
      <c r="P20" s="99">
        <f t="shared" si="3"/>
        <v>0.22714120370370369</v>
      </c>
      <c r="Q20" s="16">
        <v>4</v>
      </c>
      <c r="R20" s="17" t="s">
        <v>49</v>
      </c>
      <c r="S20" s="97">
        <f t="shared" si="4"/>
        <v>158177500</v>
      </c>
      <c r="T20" s="17">
        <v>0</v>
      </c>
      <c r="U20" s="83">
        <v>0</v>
      </c>
      <c r="V20" s="97">
        <f t="shared" si="5"/>
        <v>790887500</v>
      </c>
      <c r="W20" s="98">
        <f t="shared" ref="W20:W30" si="10">IF(P20&lt;10%, 1*30*16000*Q20, IF(P20&lt;20%, 2*30*16000*Q20, IF(P20&lt;30%, 3*30*16000*Q20, IF(P20&lt;=70%, 6*30*16000*Q20, 12*30*16000*Q20))))</f>
        <v>5760000</v>
      </c>
      <c r="X20" s="100">
        <f t="shared" si="7"/>
        <v>3000000</v>
      </c>
      <c r="Y20" s="101">
        <f t="shared" si="8"/>
        <v>799647500</v>
      </c>
      <c r="Z20" s="101">
        <f t="shared" si="9"/>
        <v>957825000</v>
      </c>
      <c r="AA20" s="17" t="s">
        <v>177</v>
      </c>
      <c r="AB20" s="17"/>
    </row>
    <row r="21" spans="1:28" s="168" customFormat="1" ht="38.25" customHeight="1">
      <c r="A21" s="9">
        <v>13</v>
      </c>
      <c r="B21" s="10" t="s">
        <v>31</v>
      </c>
      <c r="C21" s="10" t="s">
        <v>31</v>
      </c>
      <c r="D21" s="11" t="s">
        <v>14</v>
      </c>
      <c r="E21" s="12" t="s">
        <v>29</v>
      </c>
      <c r="F21" s="26" t="s">
        <v>66</v>
      </c>
      <c r="G21" s="30" t="s">
        <v>94</v>
      </c>
      <c r="H21" s="30" t="s">
        <v>77</v>
      </c>
      <c r="I21" s="9">
        <v>48</v>
      </c>
      <c r="J21" s="12">
        <v>1</v>
      </c>
      <c r="K21" s="13">
        <v>3708</v>
      </c>
      <c r="L21" s="14">
        <v>1835.4</v>
      </c>
      <c r="M21" s="15">
        <f t="shared" si="2"/>
        <v>1872.6</v>
      </c>
      <c r="N21" s="16" t="s">
        <v>16</v>
      </c>
      <c r="O21" s="87">
        <v>3708</v>
      </c>
      <c r="P21" s="99">
        <f t="shared" si="3"/>
        <v>0.49498381877022657</v>
      </c>
      <c r="Q21" s="16">
        <v>7</v>
      </c>
      <c r="R21" s="17" t="s">
        <v>49</v>
      </c>
      <c r="S21" s="97">
        <f t="shared" si="4"/>
        <v>284487000</v>
      </c>
      <c r="T21" s="17">
        <v>0</v>
      </c>
      <c r="U21" s="83">
        <v>0</v>
      </c>
      <c r="V21" s="97">
        <f t="shared" si="5"/>
        <v>1422435000</v>
      </c>
      <c r="W21" s="98">
        <f t="shared" si="10"/>
        <v>20160000</v>
      </c>
      <c r="X21" s="100">
        <f t="shared" si="7"/>
        <v>3000000</v>
      </c>
      <c r="Y21" s="101">
        <f t="shared" si="8"/>
        <v>1445595000</v>
      </c>
      <c r="Z21" s="101">
        <f t="shared" si="9"/>
        <v>1730082000</v>
      </c>
      <c r="AA21" s="17" t="s">
        <v>177</v>
      </c>
      <c r="AB21" s="17"/>
    </row>
    <row r="22" spans="1:28" s="168" customFormat="1" ht="56.25">
      <c r="A22" s="9">
        <v>14</v>
      </c>
      <c r="B22" s="19" t="s">
        <v>53</v>
      </c>
      <c r="C22" s="19" t="s">
        <v>101</v>
      </c>
      <c r="D22" s="11" t="s">
        <v>14</v>
      </c>
      <c r="E22" s="12" t="s">
        <v>32</v>
      </c>
      <c r="F22" s="26" t="s">
        <v>67</v>
      </c>
      <c r="G22" s="30" t="s">
        <v>76</v>
      </c>
      <c r="H22" s="30" t="s">
        <v>77</v>
      </c>
      <c r="I22" s="9">
        <v>48</v>
      </c>
      <c r="J22" s="12">
        <v>3</v>
      </c>
      <c r="K22" s="13">
        <v>2538</v>
      </c>
      <c r="L22" s="14">
        <v>1018.8</v>
      </c>
      <c r="M22" s="15">
        <f t="shared" si="2"/>
        <v>1519.2</v>
      </c>
      <c r="N22" s="16" t="s">
        <v>16</v>
      </c>
      <c r="O22" s="87">
        <v>2664</v>
      </c>
      <c r="P22" s="99">
        <f t="shared" si="3"/>
        <v>0.38243243243243241</v>
      </c>
      <c r="Q22" s="16">
        <v>2</v>
      </c>
      <c r="R22" s="17" t="s">
        <v>49</v>
      </c>
      <c r="S22" s="97">
        <f t="shared" si="4"/>
        <v>157914000</v>
      </c>
      <c r="T22" s="17">
        <v>0</v>
      </c>
      <c r="U22" s="83">
        <v>0</v>
      </c>
      <c r="V22" s="97">
        <f t="shared" si="5"/>
        <v>789570000</v>
      </c>
      <c r="W22" s="98">
        <f t="shared" si="10"/>
        <v>5760000</v>
      </c>
      <c r="X22" s="100">
        <f t="shared" si="7"/>
        <v>3000000</v>
      </c>
      <c r="Y22" s="101">
        <f t="shared" si="8"/>
        <v>798330000</v>
      </c>
      <c r="Z22" s="101">
        <f t="shared" si="9"/>
        <v>956244000</v>
      </c>
      <c r="AA22" s="17" t="s">
        <v>177</v>
      </c>
      <c r="AB22" s="17"/>
    </row>
    <row r="23" spans="1:28" s="168" customFormat="1" ht="38.25" customHeight="1">
      <c r="A23" s="9">
        <v>15</v>
      </c>
      <c r="B23" s="10" t="s">
        <v>33</v>
      </c>
      <c r="C23" s="10" t="s">
        <v>33</v>
      </c>
      <c r="D23" s="11" t="s">
        <v>14</v>
      </c>
      <c r="E23" s="12" t="s">
        <v>32</v>
      </c>
      <c r="F23" s="26" t="s">
        <v>59</v>
      </c>
      <c r="G23" s="30" t="s">
        <v>109</v>
      </c>
      <c r="H23" s="30" t="s">
        <v>77</v>
      </c>
      <c r="I23" s="9">
        <v>48</v>
      </c>
      <c r="J23" s="12">
        <v>4</v>
      </c>
      <c r="K23" s="13">
        <v>2898</v>
      </c>
      <c r="L23" s="14">
        <v>2228.1</v>
      </c>
      <c r="M23" s="15">
        <f t="shared" si="2"/>
        <v>669.90000000000009</v>
      </c>
      <c r="N23" s="16" t="s">
        <v>16</v>
      </c>
      <c r="O23" s="87">
        <v>2970</v>
      </c>
      <c r="P23" s="99">
        <f t="shared" si="3"/>
        <v>0.7502020202020202</v>
      </c>
      <c r="Q23" s="16">
        <v>5</v>
      </c>
      <c r="R23" s="17" t="s">
        <v>50</v>
      </c>
      <c r="S23" s="97">
        <f t="shared" si="4"/>
        <v>345355500</v>
      </c>
      <c r="T23" s="17">
        <v>0</v>
      </c>
      <c r="U23" s="83">
        <v>0</v>
      </c>
      <c r="V23" s="97">
        <f t="shared" si="5"/>
        <v>1726777500</v>
      </c>
      <c r="W23" s="98">
        <f t="shared" si="10"/>
        <v>28800000</v>
      </c>
      <c r="X23" s="100">
        <f t="shared" si="7"/>
        <v>3000000</v>
      </c>
      <c r="Y23" s="101">
        <f t="shared" si="8"/>
        <v>1758577500</v>
      </c>
      <c r="Z23" s="101">
        <f t="shared" si="9"/>
        <v>2103933000</v>
      </c>
      <c r="AA23" s="17" t="s">
        <v>177</v>
      </c>
      <c r="AB23" s="17"/>
    </row>
    <row r="24" spans="1:28" s="168" customFormat="1" ht="42.75" customHeight="1">
      <c r="A24" s="9">
        <v>16</v>
      </c>
      <c r="B24" s="19" t="s">
        <v>89</v>
      </c>
      <c r="C24" s="19" t="s">
        <v>102</v>
      </c>
      <c r="D24" s="11" t="s">
        <v>14</v>
      </c>
      <c r="E24" s="12" t="s">
        <v>32</v>
      </c>
      <c r="F24" s="26" t="s">
        <v>68</v>
      </c>
      <c r="G24" s="30" t="s">
        <v>90</v>
      </c>
      <c r="H24" s="30" t="s">
        <v>81</v>
      </c>
      <c r="I24" s="9">
        <v>48</v>
      </c>
      <c r="J24" s="12">
        <v>5</v>
      </c>
      <c r="K24" s="13">
        <v>4496.5</v>
      </c>
      <c r="L24" s="14">
        <v>2533.5</v>
      </c>
      <c r="M24" s="15">
        <f t="shared" si="2"/>
        <v>1963</v>
      </c>
      <c r="N24" s="16" t="s">
        <v>16</v>
      </c>
      <c r="O24" s="87">
        <v>4820.3999999999996</v>
      </c>
      <c r="P24" s="99">
        <f t="shared" si="3"/>
        <v>0.52557879014189701</v>
      </c>
      <c r="Q24" s="16">
        <v>6</v>
      </c>
      <c r="R24" s="17" t="s">
        <v>50</v>
      </c>
      <c r="S24" s="97">
        <f t="shared" si="4"/>
        <v>392692500</v>
      </c>
      <c r="T24" s="17">
        <v>0</v>
      </c>
      <c r="U24" s="83">
        <v>0</v>
      </c>
      <c r="V24" s="97">
        <f t="shared" si="5"/>
        <v>1963462500</v>
      </c>
      <c r="W24" s="98">
        <f t="shared" si="10"/>
        <v>17280000</v>
      </c>
      <c r="X24" s="100">
        <f t="shared" si="7"/>
        <v>3000000</v>
      </c>
      <c r="Y24" s="101">
        <f t="shared" si="8"/>
        <v>1983742500</v>
      </c>
      <c r="Z24" s="101">
        <f t="shared" si="9"/>
        <v>2376435000</v>
      </c>
      <c r="AA24" s="17" t="s">
        <v>177</v>
      </c>
      <c r="AB24" s="17"/>
    </row>
    <row r="25" spans="1:28" s="168" customFormat="1" ht="38.25" customHeight="1">
      <c r="A25" s="9">
        <v>17</v>
      </c>
      <c r="B25" s="10" t="s">
        <v>34</v>
      </c>
      <c r="C25" s="10" t="s">
        <v>34</v>
      </c>
      <c r="D25" s="11" t="s">
        <v>14</v>
      </c>
      <c r="E25" s="12" t="s">
        <v>32</v>
      </c>
      <c r="F25" s="26" t="s">
        <v>69</v>
      </c>
      <c r="G25" s="30" t="s">
        <v>91</v>
      </c>
      <c r="H25" s="30" t="s">
        <v>92</v>
      </c>
      <c r="I25" s="9">
        <v>48</v>
      </c>
      <c r="J25" s="12">
        <v>6</v>
      </c>
      <c r="K25" s="13">
        <v>2469.8000000000002</v>
      </c>
      <c r="L25" s="14">
        <v>1415</v>
      </c>
      <c r="M25" s="15">
        <f t="shared" si="2"/>
        <v>1054.8000000000002</v>
      </c>
      <c r="N25" s="16" t="s">
        <v>16</v>
      </c>
      <c r="O25" s="87">
        <v>2660.4</v>
      </c>
      <c r="P25" s="99">
        <f t="shared" si="3"/>
        <v>0.53187490602916854</v>
      </c>
      <c r="Q25" s="16">
        <v>2</v>
      </c>
      <c r="R25" s="17" t="s">
        <v>50</v>
      </c>
      <c r="S25" s="97">
        <f t="shared" si="4"/>
        <v>219325000</v>
      </c>
      <c r="T25" s="17">
        <v>0</v>
      </c>
      <c r="U25" s="83">
        <v>0</v>
      </c>
      <c r="V25" s="97">
        <f t="shared" si="5"/>
        <v>1096625000</v>
      </c>
      <c r="W25" s="98">
        <f t="shared" si="10"/>
        <v>5760000</v>
      </c>
      <c r="X25" s="100">
        <f t="shared" si="7"/>
        <v>3000000</v>
      </c>
      <c r="Y25" s="101">
        <f t="shared" si="8"/>
        <v>1105385000</v>
      </c>
      <c r="Z25" s="101">
        <f t="shared" si="9"/>
        <v>1324710000</v>
      </c>
      <c r="AA25" s="17" t="s">
        <v>177</v>
      </c>
      <c r="AB25" s="17"/>
    </row>
    <row r="26" spans="1:28" s="168" customFormat="1" ht="38.25" customHeight="1">
      <c r="A26" s="9">
        <v>18</v>
      </c>
      <c r="B26" s="10" t="s">
        <v>35</v>
      </c>
      <c r="C26" s="10" t="s">
        <v>35</v>
      </c>
      <c r="D26" s="11" t="s">
        <v>14</v>
      </c>
      <c r="E26" s="12" t="s">
        <v>32</v>
      </c>
      <c r="F26" s="26" t="s">
        <v>69</v>
      </c>
      <c r="G26" s="30" t="s">
        <v>93</v>
      </c>
      <c r="H26" s="30" t="s">
        <v>85</v>
      </c>
      <c r="I26" s="9">
        <v>48</v>
      </c>
      <c r="J26" s="12">
        <v>7</v>
      </c>
      <c r="K26" s="13">
        <v>2469.6999999999998</v>
      </c>
      <c r="L26" s="14">
        <v>1434.1</v>
      </c>
      <c r="M26" s="15">
        <f t="shared" si="2"/>
        <v>1035.5999999999999</v>
      </c>
      <c r="N26" s="16" t="s">
        <v>16</v>
      </c>
      <c r="O26" s="87">
        <v>2710.8</v>
      </c>
      <c r="P26" s="99">
        <f t="shared" si="3"/>
        <v>0.52903202006787653</v>
      </c>
      <c r="Q26" s="16">
        <v>2</v>
      </c>
      <c r="R26" s="17" t="s">
        <v>51</v>
      </c>
      <c r="S26" s="97">
        <f t="shared" si="4"/>
        <v>222285500</v>
      </c>
      <c r="T26" s="17">
        <v>0</v>
      </c>
      <c r="U26" s="83">
        <v>0</v>
      </c>
      <c r="V26" s="97">
        <f t="shared" si="5"/>
        <v>1111427500</v>
      </c>
      <c r="W26" s="98">
        <f t="shared" si="10"/>
        <v>5760000</v>
      </c>
      <c r="X26" s="100">
        <f t="shared" si="7"/>
        <v>3000000</v>
      </c>
      <c r="Y26" s="101">
        <f t="shared" si="8"/>
        <v>1120187500</v>
      </c>
      <c r="Z26" s="101">
        <f t="shared" si="9"/>
        <v>1342473000</v>
      </c>
      <c r="AA26" s="17" t="s">
        <v>177</v>
      </c>
      <c r="AB26" s="17"/>
    </row>
    <row r="27" spans="1:28" s="168" customFormat="1" ht="56.25">
      <c r="A27" s="9">
        <v>19</v>
      </c>
      <c r="B27" s="19" t="s">
        <v>36</v>
      </c>
      <c r="C27" s="19" t="s">
        <v>103</v>
      </c>
      <c r="D27" s="11" t="s">
        <v>14</v>
      </c>
      <c r="E27" s="12" t="s">
        <v>37</v>
      </c>
      <c r="F27" s="26" t="s">
        <v>70</v>
      </c>
      <c r="G27" s="30" t="s">
        <v>78</v>
      </c>
      <c r="H27" s="30" t="s">
        <v>79</v>
      </c>
      <c r="I27" s="9">
        <v>48</v>
      </c>
      <c r="J27" s="12">
        <v>13</v>
      </c>
      <c r="K27" s="13">
        <v>648.20000000000005</v>
      </c>
      <c r="L27" s="14">
        <v>648.20000000000005</v>
      </c>
      <c r="M27" s="155">
        <f t="shared" si="2"/>
        <v>0</v>
      </c>
      <c r="N27" s="16" t="s">
        <v>16</v>
      </c>
      <c r="O27" s="87">
        <v>648.20000000000005</v>
      </c>
      <c r="P27" s="99">
        <f t="shared" si="3"/>
        <v>1</v>
      </c>
      <c r="Q27" s="16">
        <v>1</v>
      </c>
      <c r="R27" s="17" t="s">
        <v>51</v>
      </c>
      <c r="S27" s="97">
        <f t="shared" si="4"/>
        <v>100471000</v>
      </c>
      <c r="T27" s="17">
        <v>0</v>
      </c>
      <c r="U27" s="83">
        <v>0</v>
      </c>
      <c r="V27" s="97">
        <f t="shared" si="5"/>
        <v>502355000</v>
      </c>
      <c r="W27" s="98">
        <f t="shared" si="10"/>
        <v>5760000</v>
      </c>
      <c r="X27" s="100">
        <f t="shared" si="7"/>
        <v>1944600.0000000002</v>
      </c>
      <c r="Y27" s="101">
        <f t="shared" si="8"/>
        <v>510059600</v>
      </c>
      <c r="Z27" s="101">
        <f t="shared" si="9"/>
        <v>610530600</v>
      </c>
      <c r="AA27" s="17" t="s">
        <v>177</v>
      </c>
      <c r="AB27" s="17"/>
    </row>
    <row r="28" spans="1:28" s="168" customFormat="1" ht="38.25" customHeight="1">
      <c r="A28" s="9">
        <v>20</v>
      </c>
      <c r="B28" s="10" t="s">
        <v>38</v>
      </c>
      <c r="C28" s="10" t="s">
        <v>38</v>
      </c>
      <c r="D28" s="11" t="s">
        <v>14</v>
      </c>
      <c r="E28" s="12" t="s">
        <v>29</v>
      </c>
      <c r="F28" s="26" t="s">
        <v>73</v>
      </c>
      <c r="G28" s="28" t="s">
        <v>111</v>
      </c>
      <c r="H28" s="28" t="s">
        <v>112</v>
      </c>
      <c r="I28" s="9">
        <v>48</v>
      </c>
      <c r="J28" s="12">
        <v>15</v>
      </c>
      <c r="K28" s="13">
        <v>2113.1999999999998</v>
      </c>
      <c r="L28" s="14">
        <v>851.6</v>
      </c>
      <c r="M28" s="15">
        <f t="shared" si="2"/>
        <v>1261.5999999999999</v>
      </c>
      <c r="N28" s="16" t="s">
        <v>16</v>
      </c>
      <c r="O28" s="87">
        <v>2224.8000000000002</v>
      </c>
      <c r="P28" s="99">
        <f t="shared" si="3"/>
        <v>0.38277597986335848</v>
      </c>
      <c r="Q28" s="16">
        <v>2</v>
      </c>
      <c r="R28" s="17" t="s">
        <v>52</v>
      </c>
      <c r="S28" s="97">
        <f t="shared" si="4"/>
        <v>131998000</v>
      </c>
      <c r="T28" s="17">
        <v>0</v>
      </c>
      <c r="U28" s="83">
        <v>0</v>
      </c>
      <c r="V28" s="97">
        <f t="shared" si="5"/>
        <v>659990000</v>
      </c>
      <c r="W28" s="98">
        <f t="shared" si="10"/>
        <v>5760000</v>
      </c>
      <c r="X28" s="100">
        <f t="shared" si="7"/>
        <v>2554800</v>
      </c>
      <c r="Y28" s="101">
        <f t="shared" si="8"/>
        <v>668304800</v>
      </c>
      <c r="Z28" s="101">
        <f t="shared" si="9"/>
        <v>800302800</v>
      </c>
      <c r="AA28" s="17" t="s">
        <v>177</v>
      </c>
      <c r="AB28" s="17"/>
    </row>
    <row r="29" spans="1:28" s="168" customFormat="1" ht="38.25" customHeight="1">
      <c r="A29" s="9">
        <v>21</v>
      </c>
      <c r="B29" s="10" t="s">
        <v>39</v>
      </c>
      <c r="C29" s="10" t="s">
        <v>39</v>
      </c>
      <c r="D29" s="11" t="s">
        <v>14</v>
      </c>
      <c r="E29" s="12" t="s">
        <v>32</v>
      </c>
      <c r="F29" s="26" t="s">
        <v>74</v>
      </c>
      <c r="G29" s="30" t="s">
        <v>104</v>
      </c>
      <c r="H29" s="30" t="s">
        <v>81</v>
      </c>
      <c r="I29" s="9">
        <v>48</v>
      </c>
      <c r="J29" s="12">
        <v>17</v>
      </c>
      <c r="K29" s="13">
        <v>7110.1</v>
      </c>
      <c r="L29" s="14">
        <v>99.2</v>
      </c>
      <c r="M29" s="15">
        <f t="shared" si="2"/>
        <v>7010.9000000000005</v>
      </c>
      <c r="N29" s="16" t="s">
        <v>16</v>
      </c>
      <c r="O29" s="87">
        <v>7110.1</v>
      </c>
      <c r="P29" s="99">
        <f t="shared" si="3"/>
        <v>1.3951983797696235E-2</v>
      </c>
      <c r="Q29" s="16">
        <v>4</v>
      </c>
      <c r="R29" s="17" t="s">
        <v>52</v>
      </c>
      <c r="S29" s="97">
        <f t="shared" si="4"/>
        <v>15376000</v>
      </c>
      <c r="T29" s="17">
        <v>0</v>
      </c>
      <c r="U29" s="83">
        <v>0</v>
      </c>
      <c r="V29" s="97">
        <f t="shared" si="5"/>
        <v>76880000</v>
      </c>
      <c r="W29" s="98">
        <f t="shared" si="10"/>
        <v>1920000</v>
      </c>
      <c r="X29" s="100">
        <f t="shared" si="7"/>
        <v>297600</v>
      </c>
      <c r="Y29" s="101">
        <f t="shared" si="8"/>
        <v>79097600</v>
      </c>
      <c r="Z29" s="101">
        <f t="shared" si="9"/>
        <v>94473600</v>
      </c>
      <c r="AA29" s="17" t="s">
        <v>177</v>
      </c>
      <c r="AB29" s="17"/>
    </row>
    <row r="30" spans="1:28" s="168" customFormat="1" ht="38.25" customHeight="1">
      <c r="A30" s="9">
        <v>22</v>
      </c>
      <c r="B30" s="10" t="s">
        <v>40</v>
      </c>
      <c r="C30" s="10" t="s">
        <v>40</v>
      </c>
      <c r="D30" s="11" t="s">
        <v>14</v>
      </c>
      <c r="E30" s="12" t="s">
        <v>29</v>
      </c>
      <c r="F30" s="26" t="s">
        <v>75</v>
      </c>
      <c r="G30" s="28" t="s">
        <v>110</v>
      </c>
      <c r="H30" s="28" t="s">
        <v>81</v>
      </c>
      <c r="I30" s="9">
        <v>48</v>
      </c>
      <c r="J30" s="12">
        <v>18</v>
      </c>
      <c r="K30" s="13">
        <v>1677.6</v>
      </c>
      <c r="L30" s="14">
        <v>35.700000000000003</v>
      </c>
      <c r="M30" s="15">
        <f t="shared" si="2"/>
        <v>1641.8999999999999</v>
      </c>
      <c r="N30" s="16" t="s">
        <v>16</v>
      </c>
      <c r="O30" s="87">
        <v>1980</v>
      </c>
      <c r="P30" s="99">
        <f t="shared" si="3"/>
        <v>1.8030303030303032E-2</v>
      </c>
      <c r="Q30" s="16">
        <v>7</v>
      </c>
      <c r="R30" s="17" t="s">
        <v>52</v>
      </c>
      <c r="S30" s="97">
        <f t="shared" si="4"/>
        <v>5533500</v>
      </c>
      <c r="T30" s="17">
        <v>0</v>
      </c>
      <c r="U30" s="83">
        <v>0</v>
      </c>
      <c r="V30" s="97">
        <f t="shared" si="5"/>
        <v>27667500</v>
      </c>
      <c r="W30" s="98">
        <f t="shared" si="10"/>
        <v>3360000</v>
      </c>
      <c r="X30" s="100">
        <f t="shared" si="7"/>
        <v>107100.00000000001</v>
      </c>
      <c r="Y30" s="101">
        <f t="shared" si="8"/>
        <v>31134600</v>
      </c>
      <c r="Z30" s="101">
        <f t="shared" si="9"/>
        <v>36668100</v>
      </c>
      <c r="AA30" s="17" t="s">
        <v>177</v>
      </c>
      <c r="AB30" s="17"/>
    </row>
    <row r="31" spans="1:28" s="170" customFormat="1" ht="38.25" customHeight="1">
      <c r="A31" s="25" t="s">
        <v>185</v>
      </c>
      <c r="B31" s="145" t="s">
        <v>186</v>
      </c>
      <c r="C31" s="145"/>
      <c r="D31" s="146"/>
      <c r="E31" s="147"/>
      <c r="F31" s="148"/>
      <c r="G31" s="149"/>
      <c r="H31" s="149"/>
      <c r="I31" s="25"/>
      <c r="J31" s="147"/>
      <c r="K31" s="14" t="e">
        <f>K32+K33+K34</f>
        <v>#REF!</v>
      </c>
      <c r="L31" s="14" t="e">
        <f>L32+L33+L34</f>
        <v>#REF!</v>
      </c>
      <c r="M31" s="14" t="e">
        <f>M32+M33+M34</f>
        <v>#REF!</v>
      </c>
      <c r="N31" s="150"/>
      <c r="O31" s="151"/>
      <c r="P31" s="152"/>
      <c r="Q31" s="150"/>
      <c r="R31" s="153"/>
      <c r="S31" s="156">
        <v>0</v>
      </c>
      <c r="T31" s="156"/>
      <c r="U31" s="156"/>
      <c r="V31" s="156"/>
      <c r="W31" s="156"/>
      <c r="X31" s="156"/>
      <c r="Y31" s="156">
        <f>0</f>
        <v>0</v>
      </c>
      <c r="Z31" s="156">
        <f>0</f>
        <v>0</v>
      </c>
      <c r="AA31" s="153"/>
      <c r="AB31" s="153"/>
    </row>
    <row r="32" spans="1:28" s="168" customFormat="1" ht="72" customHeight="1">
      <c r="A32" s="366">
        <v>23</v>
      </c>
      <c r="B32" s="159" t="s">
        <v>135</v>
      </c>
      <c r="C32" s="10"/>
      <c r="D32" s="11"/>
      <c r="E32" s="11" t="s">
        <v>189</v>
      </c>
      <c r="F32" s="26"/>
      <c r="G32" s="28"/>
      <c r="H32" s="28"/>
      <c r="I32" s="9" t="s">
        <v>190</v>
      </c>
      <c r="J32" s="154" t="s">
        <v>196</v>
      </c>
      <c r="K32" s="13" t="e">
        <f>#REF!</f>
        <v>#REF!</v>
      </c>
      <c r="L32" s="14" t="e">
        <f>#REF!</f>
        <v>#REF!</v>
      </c>
      <c r="M32" s="15" t="e">
        <f t="shared" si="2"/>
        <v>#REF!</v>
      </c>
      <c r="N32" s="16" t="s">
        <v>16</v>
      </c>
      <c r="O32" s="87"/>
      <c r="P32" s="99"/>
      <c r="Q32" s="16"/>
      <c r="R32" s="17"/>
      <c r="S32" s="97">
        <v>0</v>
      </c>
      <c r="T32" s="97">
        <v>0</v>
      </c>
      <c r="U32" s="97">
        <v>0</v>
      </c>
      <c r="V32" s="97">
        <v>0</v>
      </c>
      <c r="W32" s="97">
        <v>0</v>
      </c>
      <c r="X32" s="97">
        <v>0</v>
      </c>
      <c r="Y32" s="97">
        <v>0</v>
      </c>
      <c r="Z32" s="97">
        <v>0</v>
      </c>
      <c r="AA32" s="17"/>
      <c r="AB32" s="17"/>
    </row>
    <row r="33" spans="1:30" s="168" customFormat="1" ht="129.75" customHeight="1">
      <c r="A33" s="367"/>
      <c r="B33" s="159" t="s">
        <v>187</v>
      </c>
      <c r="C33" s="10"/>
      <c r="D33" s="11"/>
      <c r="E33" s="11" t="s">
        <v>189</v>
      </c>
      <c r="F33" s="26"/>
      <c r="G33" s="28"/>
      <c r="H33" s="28"/>
      <c r="I33" s="9" t="s">
        <v>190</v>
      </c>
      <c r="J33" s="154" t="s">
        <v>197</v>
      </c>
      <c r="K33" s="13" t="e">
        <f>#REF!</f>
        <v>#REF!</v>
      </c>
      <c r="L33" s="14" t="e">
        <f>#REF!</f>
        <v>#REF!</v>
      </c>
      <c r="M33" s="15" t="e">
        <f t="shared" si="2"/>
        <v>#REF!</v>
      </c>
      <c r="N33" s="16" t="s">
        <v>199</v>
      </c>
      <c r="O33" s="87"/>
      <c r="P33" s="99"/>
      <c r="Q33" s="16"/>
      <c r="R33" s="17"/>
      <c r="S33" s="97">
        <v>0</v>
      </c>
      <c r="T33" s="97">
        <v>0</v>
      </c>
      <c r="U33" s="97">
        <v>0</v>
      </c>
      <c r="V33" s="97">
        <v>0</v>
      </c>
      <c r="W33" s="97">
        <v>0</v>
      </c>
      <c r="X33" s="97">
        <v>0</v>
      </c>
      <c r="Y33" s="97">
        <v>0</v>
      </c>
      <c r="Z33" s="97">
        <v>0</v>
      </c>
      <c r="AA33" s="17"/>
      <c r="AB33" s="17"/>
    </row>
    <row r="34" spans="1:30" s="168" customFormat="1" ht="69" customHeight="1">
      <c r="A34" s="368"/>
      <c r="B34" s="159" t="s">
        <v>188</v>
      </c>
      <c r="C34" s="10"/>
      <c r="D34" s="11"/>
      <c r="E34" s="11" t="s">
        <v>189</v>
      </c>
      <c r="F34" s="26"/>
      <c r="G34" s="28"/>
      <c r="H34" s="28"/>
      <c r="I34" s="9" t="s">
        <v>190</v>
      </c>
      <c r="J34" s="154" t="s">
        <v>198</v>
      </c>
      <c r="K34" s="13" t="e">
        <f>#REF!</f>
        <v>#REF!</v>
      </c>
      <c r="L34" s="14" t="e">
        <f>#REF!</f>
        <v>#REF!</v>
      </c>
      <c r="M34" s="155" t="e">
        <f t="shared" si="2"/>
        <v>#REF!</v>
      </c>
      <c r="N34" s="16" t="s">
        <v>200</v>
      </c>
      <c r="O34" s="87"/>
      <c r="P34" s="99"/>
      <c r="Q34" s="16"/>
      <c r="R34" s="17"/>
      <c r="S34" s="97">
        <v>0</v>
      </c>
      <c r="T34" s="97">
        <v>0</v>
      </c>
      <c r="U34" s="97">
        <v>0</v>
      </c>
      <c r="V34" s="97">
        <v>0</v>
      </c>
      <c r="W34" s="97">
        <v>0</v>
      </c>
      <c r="X34" s="97">
        <v>0</v>
      </c>
      <c r="Y34" s="97">
        <v>0</v>
      </c>
      <c r="Z34" s="97">
        <v>0</v>
      </c>
      <c r="AA34" s="17"/>
      <c r="AB34" s="17"/>
    </row>
    <row r="35" spans="1:30" ht="36.75" customHeight="1">
      <c r="A35" s="314" t="s">
        <v>41</v>
      </c>
      <c r="B35" s="314"/>
      <c r="C35" s="25"/>
      <c r="D35" s="8"/>
      <c r="E35" s="21"/>
      <c r="F35" s="21"/>
      <c r="G35" s="31"/>
      <c r="H35" s="31"/>
      <c r="I35" s="21"/>
      <c r="J35" s="21"/>
      <c r="K35" s="22" t="e">
        <f>K31+K8</f>
        <v>#REF!</v>
      </c>
      <c r="L35" s="22" t="e">
        <f t="shared" ref="L35:M35" si="11">L31+L8</f>
        <v>#REF!</v>
      </c>
      <c r="M35" s="22" t="e">
        <f t="shared" si="11"/>
        <v>#REF!</v>
      </c>
      <c r="N35" s="21"/>
      <c r="O35" s="90"/>
      <c r="P35" s="90"/>
      <c r="Q35" s="21"/>
      <c r="R35" s="8"/>
      <c r="S35" s="104">
        <f>S31+S8</f>
        <v>3066659500</v>
      </c>
      <c r="T35" s="104" t="e">
        <f t="shared" ref="T35:Z35" si="12">T31+T8</f>
        <v>#REF!</v>
      </c>
      <c r="U35" s="104" t="e">
        <f t="shared" si="12"/>
        <v>#REF!</v>
      </c>
      <c r="V35" s="104">
        <f t="shared" si="12"/>
        <v>15333297500</v>
      </c>
      <c r="W35" s="104">
        <f t="shared" si="12"/>
        <v>158880000</v>
      </c>
      <c r="X35" s="104">
        <f t="shared" si="12"/>
        <v>43310700</v>
      </c>
      <c r="Y35" s="104">
        <f t="shared" si="12"/>
        <v>15535488200</v>
      </c>
      <c r="Z35" s="104" t="e">
        <f t="shared" si="12"/>
        <v>#REF!</v>
      </c>
      <c r="AA35" s="8"/>
      <c r="AB35" s="8"/>
      <c r="AC35" s="171" t="e">
        <f>' 1. Đỗ Văn Dân th13 + th12 t3'!G73+#REF!+#REF!+#REF!+#REF!+#REF!+#REF!+#REF!+#REF!+#REF!+#REF!+#REF!+#REF!+#REF!+#REF!+#REF!+#REF!+#REF!+#REF!+#REF!+#REF!+#REF!</f>
        <v>#REF!</v>
      </c>
      <c r="AD35" s="172" t="e">
        <f>Z35-AC35</f>
        <v>#REF!</v>
      </c>
    </row>
    <row r="36" spans="1:30">
      <c r="A36" s="160"/>
      <c r="B36" s="160"/>
      <c r="C36" s="160"/>
      <c r="D36" s="161"/>
      <c r="E36" s="2"/>
      <c r="F36" s="2"/>
      <c r="G36" s="29"/>
      <c r="H36" s="29"/>
      <c r="I36" s="2"/>
      <c r="J36" s="2"/>
      <c r="K36" s="162"/>
      <c r="L36" s="162"/>
      <c r="M36" s="162"/>
      <c r="N36" s="2"/>
      <c r="O36" s="163"/>
      <c r="P36" s="163"/>
      <c r="Q36" s="2"/>
      <c r="R36" s="161"/>
      <c r="S36" s="164"/>
      <c r="T36" s="164"/>
      <c r="U36" s="164"/>
      <c r="V36" s="164"/>
      <c r="W36" s="164"/>
      <c r="X36" s="164"/>
      <c r="Y36" s="164"/>
      <c r="Z36" s="164"/>
      <c r="AA36" s="161"/>
      <c r="AB36" s="161"/>
      <c r="AC36" s="171"/>
      <c r="AD36" s="172"/>
    </row>
    <row r="37" spans="1:30" s="173" customFormat="1" ht="27.75" hidden="1" customHeight="1">
      <c r="B37" s="306" t="s">
        <v>191</v>
      </c>
      <c r="C37" s="306"/>
      <c r="D37" s="306"/>
      <c r="E37" s="306"/>
      <c r="F37" s="306"/>
      <c r="G37" s="306"/>
      <c r="H37" s="306"/>
      <c r="I37" s="306"/>
      <c r="J37" s="306"/>
      <c r="K37" s="377" t="e">
        <f>Z35</f>
        <v>#REF!</v>
      </c>
      <c r="L37" s="377"/>
      <c r="M37" s="174" t="s">
        <v>192</v>
      </c>
      <c r="R37" s="175"/>
      <c r="T37" s="176"/>
      <c r="U37" s="177"/>
      <c r="W37" s="177"/>
      <c r="X37" s="177"/>
    </row>
    <row r="38" spans="1:30" s="173" customFormat="1" ht="27.75" hidden="1" customHeight="1">
      <c r="B38" s="306" t="s">
        <v>193</v>
      </c>
      <c r="C38" s="306"/>
      <c r="D38" s="306"/>
      <c r="E38" s="306"/>
      <c r="F38" s="306"/>
      <c r="G38" s="306"/>
      <c r="H38" s="306"/>
      <c r="I38" s="306"/>
      <c r="J38" s="306"/>
      <c r="K38" s="377" t="e">
        <f>K37*2%</f>
        <v>#REF!</v>
      </c>
      <c r="L38" s="377"/>
      <c r="M38" s="174" t="s">
        <v>192</v>
      </c>
      <c r="T38" s="178"/>
      <c r="U38" s="177"/>
      <c r="W38" s="177"/>
      <c r="X38" s="177"/>
    </row>
    <row r="39" spans="1:30" s="173" customFormat="1" ht="27.75" hidden="1" customHeight="1">
      <c r="B39" s="306" t="s">
        <v>194</v>
      </c>
      <c r="C39" s="306"/>
      <c r="D39" s="306"/>
      <c r="E39" s="306"/>
      <c r="F39" s="306"/>
      <c r="G39" s="306"/>
      <c r="H39" s="306"/>
      <c r="I39" s="306"/>
      <c r="J39" s="306"/>
      <c r="K39" s="377" t="e">
        <f>K37+K38</f>
        <v>#REF!</v>
      </c>
      <c r="L39" s="377"/>
      <c r="M39" s="174" t="s">
        <v>195</v>
      </c>
      <c r="U39" s="177"/>
      <c r="W39" s="177"/>
      <c r="X39" s="177"/>
    </row>
    <row r="40" spans="1:30" s="173" customFormat="1" ht="27.75" hidden="1" customHeight="1">
      <c r="B40" s="376" t="s">
        <v>201</v>
      </c>
      <c r="C40" s="376"/>
      <c r="D40" s="376"/>
      <c r="E40" s="376"/>
      <c r="F40" s="376"/>
      <c r="G40" s="376"/>
      <c r="H40" s="376"/>
      <c r="I40" s="376"/>
      <c r="J40" s="376"/>
      <c r="K40" s="376"/>
      <c r="L40" s="376"/>
      <c r="M40" s="376"/>
      <c r="T40" s="179"/>
      <c r="U40" s="177"/>
      <c r="W40" s="177"/>
      <c r="X40" s="177"/>
    </row>
    <row r="41" spans="1:30">
      <c r="T41" s="179"/>
    </row>
  </sheetData>
  <autoFilter ref="A6:AB35">
    <filterColumn colId="8" showButton="0"/>
    <filterColumn colId="9" showButton="0"/>
    <filterColumn colId="10" showButton="0"/>
    <filterColumn colId="11" showButton="0"/>
    <filterColumn colId="12" showButton="0"/>
  </autoFilter>
  <mergeCells count="38">
    <mergeCell ref="B40:M40"/>
    <mergeCell ref="A35:B35"/>
    <mergeCell ref="B37:J37"/>
    <mergeCell ref="K37:L37"/>
    <mergeCell ref="B38:J38"/>
    <mergeCell ref="K38:L38"/>
    <mergeCell ref="B39:J39"/>
    <mergeCell ref="K39:L39"/>
    <mergeCell ref="X6:X7"/>
    <mergeCell ref="Y6:Y7"/>
    <mergeCell ref="Z6:Z7"/>
    <mergeCell ref="AA6:AA7"/>
    <mergeCell ref="AB6:AB7"/>
    <mergeCell ref="A32:A34"/>
    <mergeCell ref="R6:R7"/>
    <mergeCell ref="S6:S7"/>
    <mergeCell ref="T6:T7"/>
    <mergeCell ref="U6:U7"/>
    <mergeCell ref="A6:A7"/>
    <mergeCell ref="B6:B7"/>
    <mergeCell ref="C6:C7"/>
    <mergeCell ref="D6:D7"/>
    <mergeCell ref="E6:E7"/>
    <mergeCell ref="F6:F7"/>
    <mergeCell ref="V6:V7"/>
    <mergeCell ref="W6:W7"/>
    <mergeCell ref="G6:G7"/>
    <mergeCell ref="H6:H7"/>
    <mergeCell ref="I6:N6"/>
    <mergeCell ref="O6:O7"/>
    <mergeCell ref="P6:P7"/>
    <mergeCell ref="Q6:Q7"/>
    <mergeCell ref="A5:N5"/>
    <mergeCell ref="B1:D1"/>
    <mergeCell ref="J1:AB1"/>
    <mergeCell ref="A2:AB2"/>
    <mergeCell ref="A3:AB3"/>
    <mergeCell ref="A4:AB4"/>
  </mergeCells>
  <pageMargins left="0.27559055118110237" right="7.874015748031496E-2" top="0.39370078740157483" bottom="0.15748031496062992" header="0.19685039370078741" footer="0.15748031496062992"/>
  <pageSetup paperSize="9" scale="7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workbookViewId="0"/>
  </sheetViews>
  <sheetFormatPr defaultRowHeight="15.75"/>
  <cols>
    <col min="1" max="1" width="4.625" style="1" customWidth="1"/>
    <col min="2" max="2" width="36.25" style="23" customWidth="1"/>
    <col min="3" max="3" width="36.25" style="23" hidden="1" customWidth="1"/>
    <col min="4" max="4" width="20" style="23" customWidth="1"/>
    <col min="5" max="6" width="20.875" style="1" customWidth="1"/>
    <col min="7" max="8" width="20.875" style="32" customWidth="1"/>
    <col min="9" max="9" width="8.875" style="1" customWidth="1"/>
    <col min="10" max="10" width="8.5" style="1" customWidth="1"/>
    <col min="11" max="11" width="11.125" style="1" customWidth="1"/>
    <col min="12" max="12" width="11.875" style="1" customWidth="1"/>
    <col min="13" max="13" width="12.375" style="1" customWidth="1"/>
    <col min="14" max="14" width="8.5" style="1" customWidth="1"/>
    <col min="15" max="16" width="12.25" style="91" customWidth="1"/>
    <col min="17" max="17" width="10.625" style="1" customWidth="1"/>
    <col min="18" max="18" width="16.875" style="23" customWidth="1"/>
    <col min="19" max="19" width="25.125" style="23" bestFit="1" customWidth="1"/>
    <col min="20" max="28" width="16.875" style="23" customWidth="1"/>
  </cols>
  <sheetData>
    <row r="1" spans="1:28" ht="61.5" customHeight="1">
      <c r="B1" s="332" t="s">
        <v>42</v>
      </c>
      <c r="C1" s="332"/>
      <c r="D1" s="332"/>
      <c r="E1" s="2"/>
      <c r="F1" s="2"/>
      <c r="G1" s="29"/>
      <c r="H1" s="29"/>
      <c r="I1" s="2"/>
      <c r="J1" s="332" t="s">
        <v>0</v>
      </c>
      <c r="K1" s="333"/>
      <c r="L1" s="333"/>
      <c r="M1" s="333"/>
      <c r="N1" s="333"/>
      <c r="O1" s="333"/>
      <c r="P1" s="333"/>
      <c r="Q1" s="333"/>
      <c r="R1" s="333"/>
      <c r="S1" s="333"/>
      <c r="T1" s="333"/>
      <c r="U1" s="333"/>
      <c r="V1" s="333"/>
      <c r="W1" s="333"/>
      <c r="X1" s="333"/>
      <c r="Y1" s="333"/>
      <c r="Z1" s="333"/>
      <c r="AA1" s="333"/>
      <c r="AB1" s="333"/>
    </row>
    <row r="2" spans="1:28" ht="49.5" customHeight="1">
      <c r="A2" s="334" t="s">
        <v>166</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row>
    <row r="3" spans="1:28" ht="18.75">
      <c r="A3" s="334" t="s">
        <v>162</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row>
    <row r="4" spans="1:28" s="3" customFormat="1" ht="26.25" customHeight="1">
      <c r="A4" s="336" t="s">
        <v>43</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row>
    <row r="5" spans="1:28" s="4" customFormat="1" ht="18.75" customHeight="1">
      <c r="A5" s="359"/>
      <c r="B5" s="360"/>
      <c r="C5" s="360"/>
      <c r="D5" s="360"/>
      <c r="E5" s="360"/>
      <c r="F5" s="360"/>
      <c r="G5" s="360"/>
      <c r="H5" s="359"/>
      <c r="I5" s="359"/>
      <c r="J5" s="359"/>
      <c r="K5" s="359"/>
      <c r="L5" s="359"/>
      <c r="M5" s="359"/>
      <c r="N5" s="359"/>
      <c r="O5" s="88"/>
      <c r="P5" s="88"/>
      <c r="Q5" s="72"/>
      <c r="R5" s="24"/>
      <c r="S5" s="24"/>
      <c r="T5" s="24"/>
      <c r="U5" s="24"/>
      <c r="V5" s="24"/>
      <c r="W5" s="24"/>
      <c r="X5" s="24"/>
      <c r="Y5" s="24"/>
      <c r="Z5" s="24"/>
      <c r="AA5" s="24"/>
      <c r="AB5" s="24"/>
    </row>
    <row r="6" spans="1:28" s="5" customFormat="1" ht="48.75" customHeight="1">
      <c r="A6" s="308" t="s">
        <v>1</v>
      </c>
      <c r="B6" s="308" t="s">
        <v>2</v>
      </c>
      <c r="C6" s="27"/>
      <c r="D6" s="308" t="s">
        <v>3</v>
      </c>
      <c r="E6" s="308" t="s">
        <v>4</v>
      </c>
      <c r="F6" s="308" t="s">
        <v>54</v>
      </c>
      <c r="G6" s="361" t="s">
        <v>55</v>
      </c>
      <c r="H6" s="361" t="s">
        <v>56</v>
      </c>
      <c r="I6" s="363" t="s">
        <v>5</v>
      </c>
      <c r="J6" s="364"/>
      <c r="K6" s="364"/>
      <c r="L6" s="364"/>
      <c r="M6" s="364"/>
      <c r="N6" s="365"/>
      <c r="O6" s="339" t="s">
        <v>164</v>
      </c>
      <c r="P6" s="339" t="s">
        <v>175</v>
      </c>
      <c r="Q6" s="308" t="s">
        <v>163</v>
      </c>
      <c r="R6" s="369" t="s">
        <v>44</v>
      </c>
      <c r="S6" s="384" t="s">
        <v>167</v>
      </c>
      <c r="T6" s="383" t="s">
        <v>168</v>
      </c>
      <c r="U6" s="385" t="s">
        <v>169</v>
      </c>
      <c r="V6" s="383" t="s">
        <v>170</v>
      </c>
      <c r="W6" s="380" t="s">
        <v>171</v>
      </c>
      <c r="X6" s="383" t="s">
        <v>172</v>
      </c>
      <c r="Y6" s="380" t="s">
        <v>174</v>
      </c>
      <c r="Z6" s="380" t="s">
        <v>173</v>
      </c>
      <c r="AA6" s="381" t="s">
        <v>176</v>
      </c>
      <c r="AB6" s="378" t="s">
        <v>6</v>
      </c>
    </row>
    <row r="7" spans="1:28" s="5" customFormat="1" ht="102.75" customHeight="1">
      <c r="A7" s="309"/>
      <c r="B7" s="309"/>
      <c r="C7" s="27" t="s">
        <v>95</v>
      </c>
      <c r="D7" s="309"/>
      <c r="E7" s="309"/>
      <c r="F7" s="309"/>
      <c r="G7" s="362"/>
      <c r="H7" s="362"/>
      <c r="I7" s="6" t="s">
        <v>7</v>
      </c>
      <c r="J7" s="6" t="s">
        <v>8</v>
      </c>
      <c r="K7" s="7" t="s">
        <v>9</v>
      </c>
      <c r="L7" s="7" t="s">
        <v>10</v>
      </c>
      <c r="M7" s="7" t="s">
        <v>11</v>
      </c>
      <c r="N7" s="8" t="s">
        <v>12</v>
      </c>
      <c r="O7" s="340"/>
      <c r="P7" s="340"/>
      <c r="Q7" s="309"/>
      <c r="R7" s="370"/>
      <c r="S7" s="384"/>
      <c r="T7" s="383"/>
      <c r="U7" s="385"/>
      <c r="V7" s="383"/>
      <c r="W7" s="380"/>
      <c r="X7" s="383"/>
      <c r="Y7" s="380"/>
      <c r="Z7" s="380"/>
      <c r="AA7" s="382"/>
      <c r="AB7" s="379"/>
    </row>
    <row r="8" spans="1:28" s="18" customFormat="1" ht="38.25" customHeight="1">
      <c r="A8" s="9">
        <v>1</v>
      </c>
      <c r="B8" s="10" t="s">
        <v>13</v>
      </c>
      <c r="C8" s="10" t="s">
        <v>13</v>
      </c>
      <c r="D8" s="11" t="s">
        <v>14</v>
      </c>
      <c r="E8" s="12" t="s">
        <v>15</v>
      </c>
      <c r="F8" s="26" t="s">
        <v>57</v>
      </c>
      <c r="G8" s="30" t="s">
        <v>82</v>
      </c>
      <c r="H8" s="30" t="s">
        <v>83</v>
      </c>
      <c r="I8" s="9">
        <v>47</v>
      </c>
      <c r="J8" s="12">
        <v>2</v>
      </c>
      <c r="K8" s="13">
        <v>1814.4</v>
      </c>
      <c r="L8" s="14">
        <v>513.6</v>
      </c>
      <c r="M8" s="15">
        <v>1300.8000000000002</v>
      </c>
      <c r="N8" s="16" t="s">
        <v>16</v>
      </c>
      <c r="O8" s="87">
        <v>1958.4</v>
      </c>
      <c r="P8" s="99">
        <f>ROUND(L8/O8,4)</f>
        <v>0.26229999999999998</v>
      </c>
      <c r="Q8" s="16">
        <v>5</v>
      </c>
      <c r="R8" s="17" t="s">
        <v>45</v>
      </c>
      <c r="S8" s="97">
        <f>L8*155000</f>
        <v>79608000</v>
      </c>
      <c r="T8" s="102">
        <f>' 1. Đỗ Văn Dân th13 + th12 t3'!J44</f>
        <v>0</v>
      </c>
      <c r="U8" s="103">
        <f>' 1. Đỗ Văn Dân th13 + th12 t3'!J65</f>
        <v>0</v>
      </c>
      <c r="V8" s="97">
        <f>L8*155000*5</f>
        <v>398040000</v>
      </c>
      <c r="W8" s="98">
        <f>IF(P8&lt;10, 1*30*16000*Q8, IF(P8&lt;20, 2*30*16000*Q8, IF(P8&lt;30, 3*30*16000*Q8, IF(P8&lt;=70, 6*30*16000*S8, 12*30*16000*S8))))</f>
        <v>2400000</v>
      </c>
      <c r="X8" s="100">
        <f>IF(L8*3000&gt;3000000,3000000,IF(L8*3000&lt;=3000000,L8*3000))</f>
        <v>1540800</v>
      </c>
      <c r="Y8" s="101">
        <f>V8+W8+X8</f>
        <v>401980800</v>
      </c>
      <c r="Z8" s="101">
        <f>T8+U8+S8+Y8</f>
        <v>481588800</v>
      </c>
      <c r="AA8" s="17" t="s">
        <v>177</v>
      </c>
      <c r="AB8" s="17"/>
    </row>
    <row r="9" spans="1:28" s="18" customFormat="1" ht="60.75" customHeight="1">
      <c r="A9" s="9">
        <v>2</v>
      </c>
      <c r="B9" s="10" t="s">
        <v>17</v>
      </c>
      <c r="C9" s="10" t="s">
        <v>17</v>
      </c>
      <c r="D9" s="11" t="s">
        <v>108</v>
      </c>
      <c r="E9" s="12" t="s">
        <v>15</v>
      </c>
      <c r="F9" s="26" t="s">
        <v>58</v>
      </c>
      <c r="G9" s="30" t="s">
        <v>105</v>
      </c>
      <c r="H9" s="30" t="s">
        <v>106</v>
      </c>
      <c r="I9" s="9">
        <v>47</v>
      </c>
      <c r="J9" s="12">
        <v>3</v>
      </c>
      <c r="K9" s="13">
        <v>576.4</v>
      </c>
      <c r="L9" s="14">
        <v>139.69999999999999</v>
      </c>
      <c r="M9" s="15">
        <v>436.7</v>
      </c>
      <c r="N9" s="16" t="s">
        <v>16</v>
      </c>
      <c r="O9" s="87">
        <v>576.4</v>
      </c>
      <c r="P9" s="99">
        <f t="shared" ref="P9:P32" si="0">ROUND(L9/O9,4)</f>
        <v>0.2424</v>
      </c>
      <c r="Q9" s="16">
        <v>4</v>
      </c>
      <c r="R9" s="17" t="s">
        <v>45</v>
      </c>
      <c r="S9" s="97">
        <f t="shared" ref="S9:S32" si="1">L9*155000</f>
        <v>21653500</v>
      </c>
      <c r="T9" s="103" t="e">
        <f>#REF!</f>
        <v>#REF!</v>
      </c>
      <c r="U9" s="103" t="e">
        <f>#REF!</f>
        <v>#REF!</v>
      </c>
      <c r="V9" s="97">
        <f t="shared" ref="V9:V32" si="2">L9*155000*5</f>
        <v>108267500</v>
      </c>
      <c r="W9" s="98">
        <f t="shared" ref="W9:W32" si="3">IF(P9&lt;10, 1*30*16000*Q9, IF(P9&lt;20, 2*30*16000*Q9, IF(P9&lt;30, 3*30*16000*Q9, IF(P9&lt;=70, 6*30*16000*S9, 12*30*16000*S9))))</f>
        <v>1920000</v>
      </c>
      <c r="X9" s="100">
        <f t="shared" ref="X9:X32" si="4">IF(L9*3000&gt;3000000,3000000,IF(L9*3000&lt;=3000000,L9*3000))</f>
        <v>419099.99999999994</v>
      </c>
      <c r="Y9" s="101">
        <f t="shared" ref="Y9:Y32" si="5">V9+W9+X9</f>
        <v>110606600</v>
      </c>
      <c r="Z9" s="101" t="e">
        <f t="shared" ref="Z9:Z32" si="6">T9+U9+S9+Y9</f>
        <v>#REF!</v>
      </c>
      <c r="AA9" s="17" t="s">
        <v>177</v>
      </c>
      <c r="AB9" s="17"/>
    </row>
    <row r="10" spans="1:28" s="44" customFormat="1" ht="56.25">
      <c r="A10" s="33">
        <v>3</v>
      </c>
      <c r="B10" s="45" t="s">
        <v>18</v>
      </c>
      <c r="C10" s="45" t="s">
        <v>96</v>
      </c>
      <c r="D10" s="35" t="s">
        <v>14</v>
      </c>
      <c r="E10" s="36" t="s">
        <v>15</v>
      </c>
      <c r="F10" s="37" t="s">
        <v>59</v>
      </c>
      <c r="G10" s="92" t="s">
        <v>84</v>
      </c>
      <c r="H10" s="92" t="s">
        <v>85</v>
      </c>
      <c r="I10" s="33">
        <v>47</v>
      </c>
      <c r="J10" s="36">
        <v>4</v>
      </c>
      <c r="K10" s="39">
        <v>4566.5</v>
      </c>
      <c r="L10" s="40">
        <v>1073.5</v>
      </c>
      <c r="M10" s="41">
        <f>K10-L10</f>
        <v>3493</v>
      </c>
      <c r="N10" s="42" t="s">
        <v>16</v>
      </c>
      <c r="O10" s="93"/>
      <c r="P10" s="99" t="e">
        <f t="shared" si="0"/>
        <v>#DIV/0!</v>
      </c>
      <c r="Q10" s="42"/>
      <c r="R10" s="43" t="s">
        <v>45</v>
      </c>
      <c r="S10" s="97">
        <f t="shared" si="1"/>
        <v>166392500</v>
      </c>
      <c r="T10" s="43"/>
      <c r="U10" s="43"/>
      <c r="V10" s="97">
        <f t="shared" si="2"/>
        <v>831962500</v>
      </c>
      <c r="W10" s="98" t="e">
        <f t="shared" si="3"/>
        <v>#DIV/0!</v>
      </c>
      <c r="X10" s="100">
        <f t="shared" si="4"/>
        <v>3000000</v>
      </c>
      <c r="Y10" s="101" t="e">
        <f t="shared" si="5"/>
        <v>#DIV/0!</v>
      </c>
      <c r="Z10" s="101" t="e">
        <f t="shared" si="6"/>
        <v>#DIV/0!</v>
      </c>
      <c r="AA10" s="17"/>
      <c r="AB10" s="43"/>
    </row>
    <row r="11" spans="1:28" s="18" customFormat="1" ht="37.5">
      <c r="A11" s="9">
        <v>4</v>
      </c>
      <c r="B11" s="19" t="s">
        <v>19</v>
      </c>
      <c r="C11" s="19" t="s">
        <v>97</v>
      </c>
      <c r="D11" s="11" t="s">
        <v>14</v>
      </c>
      <c r="E11" s="12" t="s">
        <v>15</v>
      </c>
      <c r="F11" s="26" t="s">
        <v>60</v>
      </c>
      <c r="G11" s="30" t="s">
        <v>107</v>
      </c>
      <c r="H11" s="30" t="s">
        <v>83</v>
      </c>
      <c r="I11" s="9">
        <v>47</v>
      </c>
      <c r="J11" s="12">
        <v>6</v>
      </c>
      <c r="K11" s="13">
        <v>4262.5</v>
      </c>
      <c r="L11" s="14">
        <v>843.3</v>
      </c>
      <c r="M11" s="15">
        <v>3419.2</v>
      </c>
      <c r="N11" s="16" t="s">
        <v>16</v>
      </c>
      <c r="O11" s="87">
        <v>4453.2</v>
      </c>
      <c r="P11" s="99">
        <f t="shared" si="0"/>
        <v>0.18940000000000001</v>
      </c>
      <c r="Q11" s="16">
        <v>2</v>
      </c>
      <c r="R11" s="17" t="s">
        <v>45</v>
      </c>
      <c r="S11" s="97">
        <f t="shared" si="1"/>
        <v>130711500</v>
      </c>
      <c r="T11" s="102">
        <v>0</v>
      </c>
      <c r="U11" s="103">
        <v>0</v>
      </c>
      <c r="V11" s="97">
        <f t="shared" si="2"/>
        <v>653557500</v>
      </c>
      <c r="W11" s="98">
        <f t="shared" si="3"/>
        <v>960000</v>
      </c>
      <c r="X11" s="100">
        <f t="shared" si="4"/>
        <v>2529900</v>
      </c>
      <c r="Y11" s="101">
        <f t="shared" si="5"/>
        <v>657047400</v>
      </c>
      <c r="Z11" s="101">
        <f t="shared" si="6"/>
        <v>787758900</v>
      </c>
      <c r="AA11" s="17" t="s">
        <v>177</v>
      </c>
      <c r="AB11" s="17"/>
    </row>
    <row r="12" spans="1:28" s="84" customFormat="1" ht="38.25" customHeight="1">
      <c r="A12" s="73">
        <v>5</v>
      </c>
      <c r="B12" s="74" t="s">
        <v>20</v>
      </c>
      <c r="C12" s="74" t="s">
        <v>20</v>
      </c>
      <c r="D12" s="75" t="s">
        <v>14</v>
      </c>
      <c r="E12" s="76" t="s">
        <v>15</v>
      </c>
      <c r="F12" s="77" t="s">
        <v>61</v>
      </c>
      <c r="G12" s="78"/>
      <c r="H12" s="78"/>
      <c r="I12" s="73">
        <v>47</v>
      </c>
      <c r="J12" s="76">
        <v>11</v>
      </c>
      <c r="K12" s="79">
        <v>997.5</v>
      </c>
      <c r="L12" s="80">
        <v>532.4</v>
      </c>
      <c r="M12" s="81">
        <v>465.1</v>
      </c>
      <c r="N12" s="82" t="s">
        <v>16</v>
      </c>
      <c r="O12" s="89">
        <v>3996</v>
      </c>
      <c r="P12" s="99">
        <f t="shared" si="0"/>
        <v>0.13320000000000001</v>
      </c>
      <c r="Q12" s="82">
        <v>2</v>
      </c>
      <c r="R12" s="83" t="s">
        <v>46</v>
      </c>
      <c r="S12" s="97">
        <f t="shared" si="1"/>
        <v>82522000</v>
      </c>
      <c r="T12" s="17">
        <v>0</v>
      </c>
      <c r="U12" s="83">
        <v>0</v>
      </c>
      <c r="V12" s="97">
        <f t="shared" si="2"/>
        <v>412610000</v>
      </c>
      <c r="W12" s="98">
        <f t="shared" si="3"/>
        <v>960000</v>
      </c>
      <c r="X12" s="100">
        <f t="shared" si="4"/>
        <v>1597200</v>
      </c>
      <c r="Y12" s="101">
        <f t="shared" si="5"/>
        <v>415167200</v>
      </c>
      <c r="Z12" s="101">
        <f t="shared" si="6"/>
        <v>497689200</v>
      </c>
      <c r="AA12" s="17" t="s">
        <v>177</v>
      </c>
      <c r="AB12" s="83"/>
    </row>
    <row r="13" spans="1:28" s="84" customFormat="1" ht="38.25" customHeight="1">
      <c r="A13" s="73">
        <v>6</v>
      </c>
      <c r="B13" s="74" t="s">
        <v>21</v>
      </c>
      <c r="C13" s="74" t="s">
        <v>21</v>
      </c>
      <c r="D13" s="75" t="s">
        <v>14</v>
      </c>
      <c r="E13" s="76" t="s">
        <v>15</v>
      </c>
      <c r="F13" s="77" t="s">
        <v>62</v>
      </c>
      <c r="G13" s="78"/>
      <c r="H13" s="78"/>
      <c r="I13" s="73">
        <v>47</v>
      </c>
      <c r="J13" s="76">
        <v>12</v>
      </c>
      <c r="K13" s="79">
        <v>972.3</v>
      </c>
      <c r="L13" s="80">
        <v>541.20000000000005</v>
      </c>
      <c r="M13" s="81">
        <v>431.09999999999991</v>
      </c>
      <c r="N13" s="82" t="s">
        <v>16</v>
      </c>
      <c r="O13" s="89">
        <v>2808</v>
      </c>
      <c r="P13" s="99">
        <f t="shared" si="0"/>
        <v>0.19270000000000001</v>
      </c>
      <c r="Q13" s="82">
        <v>7</v>
      </c>
      <c r="R13" s="83" t="s">
        <v>46</v>
      </c>
      <c r="S13" s="97">
        <f t="shared" si="1"/>
        <v>83886000</v>
      </c>
      <c r="T13" s="17">
        <v>0</v>
      </c>
      <c r="U13" s="83">
        <v>0</v>
      </c>
      <c r="V13" s="97">
        <f t="shared" si="2"/>
        <v>419430000</v>
      </c>
      <c r="W13" s="98">
        <f t="shared" si="3"/>
        <v>3360000</v>
      </c>
      <c r="X13" s="100">
        <f t="shared" si="4"/>
        <v>1623600.0000000002</v>
      </c>
      <c r="Y13" s="101">
        <f t="shared" si="5"/>
        <v>424413600</v>
      </c>
      <c r="Z13" s="101">
        <f t="shared" si="6"/>
        <v>508299600</v>
      </c>
      <c r="AA13" s="17" t="s">
        <v>177</v>
      </c>
      <c r="AB13" s="83"/>
    </row>
    <row r="14" spans="1:28" s="84" customFormat="1" ht="38.25" customHeight="1">
      <c r="A14" s="73">
        <v>7</v>
      </c>
      <c r="B14" s="74" t="s">
        <v>22</v>
      </c>
      <c r="C14" s="74" t="s">
        <v>22</v>
      </c>
      <c r="D14" s="75" t="s">
        <v>14</v>
      </c>
      <c r="E14" s="76" t="s">
        <v>15</v>
      </c>
      <c r="F14" s="77" t="s">
        <v>113</v>
      </c>
      <c r="G14" s="78"/>
      <c r="H14" s="78"/>
      <c r="I14" s="73">
        <v>47</v>
      </c>
      <c r="J14" s="76">
        <v>13</v>
      </c>
      <c r="K14" s="79">
        <v>1784.9</v>
      </c>
      <c r="L14" s="80">
        <v>1033.8</v>
      </c>
      <c r="M14" s="81">
        <v>751.10000000000014</v>
      </c>
      <c r="N14" s="82" t="s">
        <v>16</v>
      </c>
      <c r="O14" s="89">
        <v>3459.6</v>
      </c>
      <c r="P14" s="99">
        <f t="shared" si="0"/>
        <v>0.29880000000000001</v>
      </c>
      <c r="Q14" s="82">
        <v>2</v>
      </c>
      <c r="R14" s="83" t="s">
        <v>46</v>
      </c>
      <c r="S14" s="97">
        <f t="shared" si="1"/>
        <v>160239000</v>
      </c>
      <c r="T14" s="17">
        <v>0</v>
      </c>
      <c r="U14" s="83">
        <v>0</v>
      </c>
      <c r="V14" s="97">
        <f t="shared" si="2"/>
        <v>801195000</v>
      </c>
      <c r="W14" s="98">
        <f t="shared" si="3"/>
        <v>960000</v>
      </c>
      <c r="X14" s="100">
        <f t="shared" si="4"/>
        <v>3000000</v>
      </c>
      <c r="Y14" s="101">
        <f t="shared" si="5"/>
        <v>805155000</v>
      </c>
      <c r="Z14" s="101">
        <f t="shared" si="6"/>
        <v>965394000</v>
      </c>
      <c r="AA14" s="17" t="s">
        <v>177</v>
      </c>
      <c r="AB14" s="83"/>
    </row>
    <row r="15" spans="1:28" s="84" customFormat="1" ht="38.25" customHeight="1">
      <c r="A15" s="73">
        <v>8</v>
      </c>
      <c r="B15" s="74" t="s">
        <v>23</v>
      </c>
      <c r="C15" s="74" t="s">
        <v>23</v>
      </c>
      <c r="D15" s="75" t="s">
        <v>14</v>
      </c>
      <c r="E15" s="76" t="s">
        <v>15</v>
      </c>
      <c r="F15" s="77" t="s">
        <v>63</v>
      </c>
      <c r="G15" s="78"/>
      <c r="H15" s="78"/>
      <c r="I15" s="73">
        <v>47</v>
      </c>
      <c r="J15" s="76">
        <v>14</v>
      </c>
      <c r="K15" s="79">
        <v>144.1</v>
      </c>
      <c r="L15" s="80">
        <v>144.1</v>
      </c>
      <c r="M15" s="85">
        <v>0</v>
      </c>
      <c r="N15" s="82" t="s">
        <v>16</v>
      </c>
      <c r="O15" s="89">
        <v>3614.4</v>
      </c>
      <c r="P15" s="99">
        <f t="shared" si="0"/>
        <v>3.9899999999999998E-2</v>
      </c>
      <c r="Q15" s="82">
        <v>5</v>
      </c>
      <c r="R15" s="83" t="s">
        <v>47</v>
      </c>
      <c r="S15" s="97">
        <f t="shared" si="1"/>
        <v>22335500</v>
      </c>
      <c r="T15" s="17">
        <v>0</v>
      </c>
      <c r="U15" s="83">
        <v>0</v>
      </c>
      <c r="V15" s="97">
        <f t="shared" si="2"/>
        <v>111677500</v>
      </c>
      <c r="W15" s="98">
        <f t="shared" si="3"/>
        <v>2400000</v>
      </c>
      <c r="X15" s="100">
        <f t="shared" si="4"/>
        <v>432300</v>
      </c>
      <c r="Y15" s="101">
        <f t="shared" si="5"/>
        <v>114509800</v>
      </c>
      <c r="Z15" s="101">
        <f t="shared" si="6"/>
        <v>136845300</v>
      </c>
      <c r="AA15" s="17" t="s">
        <v>177</v>
      </c>
      <c r="AB15" s="83"/>
    </row>
    <row r="16" spans="1:28" s="18" customFormat="1" ht="56.25">
      <c r="A16" s="9">
        <v>9</v>
      </c>
      <c r="B16" s="19" t="s">
        <v>24</v>
      </c>
      <c r="C16" s="19" t="s">
        <v>98</v>
      </c>
      <c r="D16" s="11" t="s">
        <v>14</v>
      </c>
      <c r="E16" s="12" t="s">
        <v>15</v>
      </c>
      <c r="F16" s="12"/>
      <c r="G16" s="28"/>
      <c r="H16" s="28"/>
      <c r="I16" s="9">
        <v>47</v>
      </c>
      <c r="J16" s="12">
        <v>15</v>
      </c>
      <c r="K16" s="13">
        <v>144.1</v>
      </c>
      <c r="L16" s="14">
        <v>144.1</v>
      </c>
      <c r="M16" s="20">
        <v>0</v>
      </c>
      <c r="N16" s="16" t="s">
        <v>16</v>
      </c>
      <c r="O16" s="87">
        <v>3031.2</v>
      </c>
      <c r="P16" s="99">
        <f t="shared" si="0"/>
        <v>4.7500000000000001E-2</v>
      </c>
      <c r="Q16" s="16">
        <v>3</v>
      </c>
      <c r="R16" s="17" t="s">
        <v>47</v>
      </c>
      <c r="S16" s="97">
        <f t="shared" si="1"/>
        <v>22335500</v>
      </c>
      <c r="T16" s="17"/>
      <c r="U16" s="17"/>
      <c r="V16" s="97">
        <f t="shared" si="2"/>
        <v>111677500</v>
      </c>
      <c r="W16" s="98">
        <f t="shared" si="3"/>
        <v>1440000</v>
      </c>
      <c r="X16" s="100">
        <f t="shared" si="4"/>
        <v>432300</v>
      </c>
      <c r="Y16" s="101">
        <f t="shared" si="5"/>
        <v>113549800</v>
      </c>
      <c r="Z16" s="101">
        <f t="shared" si="6"/>
        <v>135885300</v>
      </c>
      <c r="AA16" s="17" t="s">
        <v>177</v>
      </c>
      <c r="AB16" s="17"/>
    </row>
    <row r="17" spans="1:28" s="84" customFormat="1" ht="56.25">
      <c r="A17" s="73">
        <v>10</v>
      </c>
      <c r="B17" s="86" t="s">
        <v>25</v>
      </c>
      <c r="C17" s="86" t="s">
        <v>99</v>
      </c>
      <c r="D17" s="75" t="s">
        <v>14</v>
      </c>
      <c r="E17" s="76" t="s">
        <v>15</v>
      </c>
      <c r="F17" s="76"/>
      <c r="G17" s="78"/>
      <c r="H17" s="78"/>
      <c r="I17" s="73">
        <v>47</v>
      </c>
      <c r="J17" s="76">
        <v>16</v>
      </c>
      <c r="K17" s="79">
        <v>72</v>
      </c>
      <c r="L17" s="80">
        <v>53.2</v>
      </c>
      <c r="M17" s="81">
        <v>18.799999999999997</v>
      </c>
      <c r="N17" s="82" t="s">
        <v>16</v>
      </c>
      <c r="O17" s="89">
        <v>2289.6</v>
      </c>
      <c r="P17" s="99">
        <f t="shared" si="0"/>
        <v>2.3199999999999998E-2</v>
      </c>
      <c r="Q17" s="82">
        <v>5</v>
      </c>
      <c r="R17" s="83" t="s">
        <v>47</v>
      </c>
      <c r="S17" s="97">
        <f t="shared" si="1"/>
        <v>8246000</v>
      </c>
      <c r="T17" s="17">
        <v>0</v>
      </c>
      <c r="U17" s="83">
        <v>0</v>
      </c>
      <c r="V17" s="97">
        <f t="shared" si="2"/>
        <v>41230000</v>
      </c>
      <c r="W17" s="98">
        <f t="shared" si="3"/>
        <v>2400000</v>
      </c>
      <c r="X17" s="100">
        <f t="shared" si="4"/>
        <v>159600</v>
      </c>
      <c r="Y17" s="101">
        <f t="shared" si="5"/>
        <v>43789600</v>
      </c>
      <c r="Z17" s="101">
        <f t="shared" si="6"/>
        <v>52035600</v>
      </c>
      <c r="AA17" s="17" t="s">
        <v>177</v>
      </c>
      <c r="AB17" s="83"/>
    </row>
    <row r="18" spans="1:28" s="84" customFormat="1" ht="38.25" customHeight="1">
      <c r="A18" s="73">
        <v>11</v>
      </c>
      <c r="B18" s="74" t="s">
        <v>26</v>
      </c>
      <c r="C18" s="74" t="s">
        <v>26</v>
      </c>
      <c r="D18" s="75" t="s">
        <v>14</v>
      </c>
      <c r="E18" s="76" t="s">
        <v>15</v>
      </c>
      <c r="F18" s="77" t="s">
        <v>64</v>
      </c>
      <c r="G18" s="78"/>
      <c r="H18" s="78"/>
      <c r="I18" s="73">
        <v>47</v>
      </c>
      <c r="J18" s="76">
        <v>17</v>
      </c>
      <c r="K18" s="79">
        <v>1476.3</v>
      </c>
      <c r="L18" s="80">
        <v>890.6</v>
      </c>
      <c r="M18" s="81">
        <v>585.69999999999993</v>
      </c>
      <c r="N18" s="82" t="s">
        <v>16</v>
      </c>
      <c r="O18" s="89">
        <v>3002.4</v>
      </c>
      <c r="P18" s="99">
        <f t="shared" si="0"/>
        <v>0.29659999999999997</v>
      </c>
      <c r="Q18" s="82">
        <v>2</v>
      </c>
      <c r="R18" s="83" t="s">
        <v>48</v>
      </c>
      <c r="S18" s="97">
        <f t="shared" si="1"/>
        <v>138043000</v>
      </c>
      <c r="T18" s="17">
        <v>0</v>
      </c>
      <c r="U18" s="83">
        <v>0</v>
      </c>
      <c r="V18" s="97">
        <f t="shared" si="2"/>
        <v>690215000</v>
      </c>
      <c r="W18" s="98">
        <f t="shared" si="3"/>
        <v>960000</v>
      </c>
      <c r="X18" s="100">
        <f t="shared" si="4"/>
        <v>2671800</v>
      </c>
      <c r="Y18" s="101">
        <f t="shared" si="5"/>
        <v>693846800</v>
      </c>
      <c r="Z18" s="101">
        <f t="shared" si="6"/>
        <v>831889800</v>
      </c>
      <c r="AA18" s="17" t="s">
        <v>177</v>
      </c>
      <c r="AB18" s="83"/>
    </row>
    <row r="19" spans="1:28" s="44" customFormat="1" ht="56.25">
      <c r="A19" s="33">
        <v>12</v>
      </c>
      <c r="B19" s="45" t="s">
        <v>27</v>
      </c>
      <c r="C19" s="45" t="s">
        <v>100</v>
      </c>
      <c r="D19" s="35" t="s">
        <v>14</v>
      </c>
      <c r="E19" s="36" t="s">
        <v>15</v>
      </c>
      <c r="F19" s="36"/>
      <c r="G19" s="38"/>
      <c r="H19" s="38"/>
      <c r="I19" s="33">
        <v>47</v>
      </c>
      <c r="J19" s="36">
        <v>18</v>
      </c>
      <c r="K19" s="39">
        <v>6120.3</v>
      </c>
      <c r="L19" s="40">
        <v>1905.5</v>
      </c>
      <c r="M19" s="41">
        <v>4214.8</v>
      </c>
      <c r="N19" s="42" t="s">
        <v>16</v>
      </c>
      <c r="O19" s="93"/>
      <c r="P19" s="99" t="e">
        <f t="shared" si="0"/>
        <v>#DIV/0!</v>
      </c>
      <c r="Q19" s="42"/>
      <c r="R19" s="43" t="s">
        <v>48</v>
      </c>
      <c r="S19" s="97">
        <f t="shared" si="1"/>
        <v>295352500</v>
      </c>
      <c r="T19" s="43"/>
      <c r="U19" s="43"/>
      <c r="V19" s="97">
        <f t="shared" si="2"/>
        <v>1476762500</v>
      </c>
      <c r="W19" s="98" t="e">
        <f t="shared" si="3"/>
        <v>#DIV/0!</v>
      </c>
      <c r="X19" s="100">
        <f t="shared" si="4"/>
        <v>3000000</v>
      </c>
      <c r="Y19" s="101" t="e">
        <f t="shared" si="5"/>
        <v>#DIV/0!</v>
      </c>
      <c r="Z19" s="101" t="e">
        <f t="shared" si="6"/>
        <v>#DIV/0!</v>
      </c>
      <c r="AA19" s="17"/>
      <c r="AB19" s="43"/>
    </row>
    <row r="20" spans="1:28" s="18" customFormat="1" ht="38.25" customHeight="1">
      <c r="A20" s="9">
        <v>13</v>
      </c>
      <c r="B20" s="10" t="s">
        <v>28</v>
      </c>
      <c r="C20" s="10" t="s">
        <v>28</v>
      </c>
      <c r="D20" s="11" t="s">
        <v>14</v>
      </c>
      <c r="E20" s="12" t="s">
        <v>29</v>
      </c>
      <c r="F20" s="26" t="s">
        <v>60</v>
      </c>
      <c r="G20" s="30" t="s">
        <v>86</v>
      </c>
      <c r="H20" s="30" t="s">
        <v>77</v>
      </c>
      <c r="I20" s="9">
        <v>47</v>
      </c>
      <c r="J20" s="12">
        <v>23</v>
      </c>
      <c r="K20" s="13">
        <v>1828.8</v>
      </c>
      <c r="L20" s="14">
        <v>1828.8</v>
      </c>
      <c r="M20" s="20">
        <v>0</v>
      </c>
      <c r="N20" s="16" t="s">
        <v>16</v>
      </c>
      <c r="O20" s="87">
        <v>2037.6</v>
      </c>
      <c r="P20" s="99">
        <f t="shared" si="0"/>
        <v>0.89749999999999996</v>
      </c>
      <c r="Q20" s="16">
        <v>3</v>
      </c>
      <c r="R20" s="17" t="s">
        <v>48</v>
      </c>
      <c r="S20" s="97">
        <f t="shared" si="1"/>
        <v>283464000</v>
      </c>
      <c r="T20" s="17">
        <v>0</v>
      </c>
      <c r="U20" s="83">
        <v>0</v>
      </c>
      <c r="V20" s="97">
        <f t="shared" si="2"/>
        <v>1417320000</v>
      </c>
      <c r="W20" s="98">
        <f t="shared" si="3"/>
        <v>1440000</v>
      </c>
      <c r="X20" s="100">
        <f t="shared" si="4"/>
        <v>3000000</v>
      </c>
      <c r="Y20" s="101">
        <f t="shared" si="5"/>
        <v>1421760000</v>
      </c>
      <c r="Z20" s="101">
        <f t="shared" si="6"/>
        <v>1705224000</v>
      </c>
      <c r="AA20" s="17" t="s">
        <v>177</v>
      </c>
      <c r="AB20" s="17"/>
    </row>
    <row r="21" spans="1:28" s="18" customFormat="1" ht="38.25" customHeight="1">
      <c r="A21" s="9">
        <v>14</v>
      </c>
      <c r="B21" s="10" t="s">
        <v>30</v>
      </c>
      <c r="C21" s="10" t="s">
        <v>30</v>
      </c>
      <c r="D21" s="11" t="s">
        <v>14</v>
      </c>
      <c r="E21" s="12" t="s">
        <v>29</v>
      </c>
      <c r="F21" s="26" t="s">
        <v>65</v>
      </c>
      <c r="G21" s="30" t="s">
        <v>87</v>
      </c>
      <c r="H21" s="30" t="s">
        <v>88</v>
      </c>
      <c r="I21" s="9">
        <v>47</v>
      </c>
      <c r="J21" s="12">
        <v>25</v>
      </c>
      <c r="K21" s="13">
        <v>4201</v>
      </c>
      <c r="L21" s="14">
        <v>1020.5</v>
      </c>
      <c r="M21" s="15">
        <v>3180.5</v>
      </c>
      <c r="N21" s="16" t="s">
        <v>16</v>
      </c>
      <c r="O21" s="87">
        <v>4492.8</v>
      </c>
      <c r="P21" s="99">
        <f t="shared" si="0"/>
        <v>0.2271</v>
      </c>
      <c r="Q21" s="16">
        <v>4</v>
      </c>
      <c r="R21" s="17" t="s">
        <v>49</v>
      </c>
      <c r="S21" s="97">
        <f t="shared" si="1"/>
        <v>158177500</v>
      </c>
      <c r="T21" s="17">
        <v>0</v>
      </c>
      <c r="U21" s="83">
        <v>0</v>
      </c>
      <c r="V21" s="97">
        <f t="shared" si="2"/>
        <v>790887500</v>
      </c>
      <c r="W21" s="98">
        <f t="shared" si="3"/>
        <v>1920000</v>
      </c>
      <c r="X21" s="100">
        <f t="shared" si="4"/>
        <v>3000000</v>
      </c>
      <c r="Y21" s="101">
        <f t="shared" si="5"/>
        <v>795807500</v>
      </c>
      <c r="Z21" s="101">
        <f t="shared" si="6"/>
        <v>953985000</v>
      </c>
      <c r="AA21" s="17" t="s">
        <v>177</v>
      </c>
      <c r="AB21" s="17"/>
    </row>
    <row r="22" spans="1:28" s="18" customFormat="1" ht="38.25" customHeight="1">
      <c r="A22" s="9">
        <v>15</v>
      </c>
      <c r="B22" s="10" t="s">
        <v>31</v>
      </c>
      <c r="C22" s="10" t="s">
        <v>31</v>
      </c>
      <c r="D22" s="11" t="s">
        <v>14</v>
      </c>
      <c r="E22" s="12" t="s">
        <v>29</v>
      </c>
      <c r="F22" s="26" t="s">
        <v>66</v>
      </c>
      <c r="G22" s="30" t="s">
        <v>94</v>
      </c>
      <c r="H22" s="30" t="s">
        <v>77</v>
      </c>
      <c r="I22" s="9">
        <v>48</v>
      </c>
      <c r="J22" s="12">
        <v>1</v>
      </c>
      <c r="K22" s="13">
        <v>3708</v>
      </c>
      <c r="L22" s="14">
        <v>1835.4</v>
      </c>
      <c r="M22" s="15">
        <v>1872.6</v>
      </c>
      <c r="N22" s="16" t="s">
        <v>16</v>
      </c>
      <c r="O22" s="87">
        <v>3708</v>
      </c>
      <c r="P22" s="99">
        <f t="shared" si="0"/>
        <v>0.495</v>
      </c>
      <c r="Q22" s="16">
        <v>7</v>
      </c>
      <c r="R22" s="17" t="s">
        <v>49</v>
      </c>
      <c r="S22" s="97">
        <f t="shared" si="1"/>
        <v>284487000</v>
      </c>
      <c r="T22" s="17">
        <v>0</v>
      </c>
      <c r="U22" s="83">
        <v>0</v>
      </c>
      <c r="V22" s="97">
        <f t="shared" si="2"/>
        <v>1422435000</v>
      </c>
      <c r="W22" s="98">
        <f t="shared" si="3"/>
        <v>3360000</v>
      </c>
      <c r="X22" s="100">
        <f t="shared" si="4"/>
        <v>3000000</v>
      </c>
      <c r="Y22" s="101">
        <f t="shared" si="5"/>
        <v>1428795000</v>
      </c>
      <c r="Z22" s="101">
        <f t="shared" si="6"/>
        <v>1713282000</v>
      </c>
      <c r="AA22" s="17" t="s">
        <v>177</v>
      </c>
      <c r="AB22" s="17"/>
    </row>
    <row r="23" spans="1:28" s="18" customFormat="1" ht="56.25">
      <c r="A23" s="9">
        <v>16</v>
      </c>
      <c r="B23" s="19" t="s">
        <v>53</v>
      </c>
      <c r="C23" s="19" t="s">
        <v>101</v>
      </c>
      <c r="D23" s="11" t="s">
        <v>14</v>
      </c>
      <c r="E23" s="12" t="s">
        <v>32</v>
      </c>
      <c r="F23" s="26" t="s">
        <v>67</v>
      </c>
      <c r="G23" s="30" t="s">
        <v>76</v>
      </c>
      <c r="H23" s="30" t="s">
        <v>77</v>
      </c>
      <c r="I23" s="9">
        <v>48</v>
      </c>
      <c r="J23" s="12">
        <v>3</v>
      </c>
      <c r="K23" s="13">
        <v>2538</v>
      </c>
      <c r="L23" s="14">
        <v>1018.8</v>
      </c>
      <c r="M23" s="15">
        <v>1519.2</v>
      </c>
      <c r="N23" s="16" t="s">
        <v>16</v>
      </c>
      <c r="O23" s="87">
        <v>2664</v>
      </c>
      <c r="P23" s="99">
        <f t="shared" si="0"/>
        <v>0.38240000000000002</v>
      </c>
      <c r="Q23" s="16">
        <v>2</v>
      </c>
      <c r="R23" s="17" t="s">
        <v>49</v>
      </c>
      <c r="S23" s="97">
        <f t="shared" si="1"/>
        <v>157914000</v>
      </c>
      <c r="T23" s="17">
        <v>0</v>
      </c>
      <c r="U23" s="83">
        <v>0</v>
      </c>
      <c r="V23" s="97">
        <f t="shared" si="2"/>
        <v>789570000</v>
      </c>
      <c r="W23" s="98">
        <f t="shared" si="3"/>
        <v>960000</v>
      </c>
      <c r="X23" s="100">
        <f t="shared" si="4"/>
        <v>3000000</v>
      </c>
      <c r="Y23" s="101">
        <f t="shared" si="5"/>
        <v>793530000</v>
      </c>
      <c r="Z23" s="101">
        <f t="shared" si="6"/>
        <v>951444000</v>
      </c>
      <c r="AA23" s="17" t="s">
        <v>177</v>
      </c>
      <c r="AB23" s="17"/>
    </row>
    <row r="24" spans="1:28" s="18" customFormat="1" ht="38.25" customHeight="1">
      <c r="A24" s="9">
        <v>17</v>
      </c>
      <c r="B24" s="10" t="s">
        <v>33</v>
      </c>
      <c r="C24" s="10" t="s">
        <v>33</v>
      </c>
      <c r="D24" s="11" t="s">
        <v>14</v>
      </c>
      <c r="E24" s="12" t="s">
        <v>32</v>
      </c>
      <c r="F24" s="26" t="s">
        <v>59</v>
      </c>
      <c r="G24" s="30" t="s">
        <v>109</v>
      </c>
      <c r="H24" s="30" t="s">
        <v>77</v>
      </c>
      <c r="I24" s="9">
        <v>48</v>
      </c>
      <c r="J24" s="12">
        <v>4</v>
      </c>
      <c r="K24" s="13">
        <v>2898</v>
      </c>
      <c r="L24" s="14">
        <v>2228.1</v>
      </c>
      <c r="M24" s="15">
        <v>669.90000000000009</v>
      </c>
      <c r="N24" s="16" t="s">
        <v>16</v>
      </c>
      <c r="O24" s="87">
        <v>2970</v>
      </c>
      <c r="P24" s="99">
        <f t="shared" si="0"/>
        <v>0.75019999999999998</v>
      </c>
      <c r="Q24" s="16">
        <v>5</v>
      </c>
      <c r="R24" s="17" t="s">
        <v>50</v>
      </c>
      <c r="S24" s="97">
        <f t="shared" si="1"/>
        <v>345355500</v>
      </c>
      <c r="T24" s="17">
        <v>0</v>
      </c>
      <c r="U24" s="83">
        <v>0</v>
      </c>
      <c r="V24" s="97">
        <f t="shared" si="2"/>
        <v>1726777500</v>
      </c>
      <c r="W24" s="98">
        <f t="shared" si="3"/>
        <v>2400000</v>
      </c>
      <c r="X24" s="100">
        <f t="shared" si="4"/>
        <v>3000000</v>
      </c>
      <c r="Y24" s="101">
        <f t="shared" si="5"/>
        <v>1732177500</v>
      </c>
      <c r="Z24" s="101">
        <f t="shared" si="6"/>
        <v>2077533000</v>
      </c>
      <c r="AA24" s="17" t="s">
        <v>177</v>
      </c>
      <c r="AB24" s="17"/>
    </row>
    <row r="25" spans="1:28" s="18" customFormat="1" ht="63" customHeight="1">
      <c r="A25" s="9">
        <v>18</v>
      </c>
      <c r="B25" s="19" t="s">
        <v>89</v>
      </c>
      <c r="C25" s="19" t="s">
        <v>102</v>
      </c>
      <c r="D25" s="11" t="s">
        <v>14</v>
      </c>
      <c r="E25" s="12" t="s">
        <v>32</v>
      </c>
      <c r="F25" s="26" t="s">
        <v>68</v>
      </c>
      <c r="G25" s="30" t="s">
        <v>90</v>
      </c>
      <c r="H25" s="30" t="s">
        <v>81</v>
      </c>
      <c r="I25" s="9">
        <v>48</v>
      </c>
      <c r="J25" s="12">
        <v>5</v>
      </c>
      <c r="K25" s="13">
        <v>4496.5</v>
      </c>
      <c r="L25" s="14">
        <v>2533.5</v>
      </c>
      <c r="M25" s="15">
        <v>1963</v>
      </c>
      <c r="N25" s="16" t="s">
        <v>16</v>
      </c>
      <c r="O25" s="87">
        <v>4820.3999999999996</v>
      </c>
      <c r="P25" s="99">
        <f t="shared" si="0"/>
        <v>0.52559999999999996</v>
      </c>
      <c r="Q25" s="16">
        <v>6</v>
      </c>
      <c r="R25" s="17" t="s">
        <v>50</v>
      </c>
      <c r="S25" s="97">
        <f t="shared" si="1"/>
        <v>392692500</v>
      </c>
      <c r="T25" s="17">
        <v>0</v>
      </c>
      <c r="U25" s="83">
        <v>0</v>
      </c>
      <c r="V25" s="97">
        <f t="shared" si="2"/>
        <v>1963462500</v>
      </c>
      <c r="W25" s="98">
        <f t="shared" si="3"/>
        <v>2880000</v>
      </c>
      <c r="X25" s="100">
        <f t="shared" si="4"/>
        <v>3000000</v>
      </c>
      <c r="Y25" s="101">
        <f t="shared" si="5"/>
        <v>1969342500</v>
      </c>
      <c r="Z25" s="101">
        <f t="shared" si="6"/>
        <v>2362035000</v>
      </c>
      <c r="AA25" s="17" t="s">
        <v>177</v>
      </c>
      <c r="AB25" s="17"/>
    </row>
    <row r="26" spans="1:28" s="18" customFormat="1" ht="38.25" customHeight="1">
      <c r="A26" s="9">
        <v>19</v>
      </c>
      <c r="B26" s="10" t="s">
        <v>34</v>
      </c>
      <c r="C26" s="10" t="s">
        <v>34</v>
      </c>
      <c r="D26" s="11" t="s">
        <v>14</v>
      </c>
      <c r="E26" s="12" t="s">
        <v>32</v>
      </c>
      <c r="F26" s="26" t="s">
        <v>69</v>
      </c>
      <c r="G26" s="30" t="s">
        <v>91</v>
      </c>
      <c r="H26" s="30" t="s">
        <v>92</v>
      </c>
      <c r="I26" s="9">
        <v>48</v>
      </c>
      <c r="J26" s="12">
        <v>6</v>
      </c>
      <c r="K26" s="13">
        <v>2469.8000000000002</v>
      </c>
      <c r="L26" s="14">
        <v>1415</v>
      </c>
      <c r="M26" s="15">
        <v>1054.8000000000002</v>
      </c>
      <c r="N26" s="16" t="s">
        <v>16</v>
      </c>
      <c r="O26" s="87">
        <v>2660.4</v>
      </c>
      <c r="P26" s="99">
        <f t="shared" si="0"/>
        <v>0.53190000000000004</v>
      </c>
      <c r="Q26" s="16">
        <v>2</v>
      </c>
      <c r="R26" s="17" t="s">
        <v>50</v>
      </c>
      <c r="S26" s="97">
        <f t="shared" si="1"/>
        <v>219325000</v>
      </c>
      <c r="T26" s="17">
        <v>0</v>
      </c>
      <c r="U26" s="83">
        <v>0</v>
      </c>
      <c r="V26" s="97">
        <f t="shared" si="2"/>
        <v>1096625000</v>
      </c>
      <c r="W26" s="98">
        <f t="shared" si="3"/>
        <v>960000</v>
      </c>
      <c r="X26" s="100">
        <f t="shared" si="4"/>
        <v>3000000</v>
      </c>
      <c r="Y26" s="101">
        <f t="shared" si="5"/>
        <v>1100585000</v>
      </c>
      <c r="Z26" s="101">
        <f t="shared" si="6"/>
        <v>1319910000</v>
      </c>
      <c r="AA26" s="17" t="s">
        <v>177</v>
      </c>
      <c r="AB26" s="17"/>
    </row>
    <row r="27" spans="1:28" s="18" customFormat="1" ht="38.25" customHeight="1">
      <c r="A27" s="9">
        <v>20</v>
      </c>
      <c r="B27" s="10" t="s">
        <v>35</v>
      </c>
      <c r="C27" s="10" t="s">
        <v>35</v>
      </c>
      <c r="D27" s="11" t="s">
        <v>14</v>
      </c>
      <c r="E27" s="12" t="s">
        <v>32</v>
      </c>
      <c r="F27" s="26" t="s">
        <v>69</v>
      </c>
      <c r="G27" s="30" t="s">
        <v>93</v>
      </c>
      <c r="H27" s="30" t="s">
        <v>85</v>
      </c>
      <c r="I27" s="9">
        <v>48</v>
      </c>
      <c r="J27" s="12">
        <v>7</v>
      </c>
      <c r="K27" s="13">
        <v>2469.6999999999998</v>
      </c>
      <c r="L27" s="14">
        <v>1434.1</v>
      </c>
      <c r="M27" s="15">
        <v>1035.5999999999999</v>
      </c>
      <c r="N27" s="16" t="s">
        <v>16</v>
      </c>
      <c r="O27" s="87">
        <v>2710.8</v>
      </c>
      <c r="P27" s="99">
        <f t="shared" si="0"/>
        <v>0.52900000000000003</v>
      </c>
      <c r="Q27" s="16">
        <v>2</v>
      </c>
      <c r="R27" s="17" t="s">
        <v>51</v>
      </c>
      <c r="S27" s="97">
        <f t="shared" si="1"/>
        <v>222285500</v>
      </c>
      <c r="T27" s="17">
        <v>0</v>
      </c>
      <c r="U27" s="83">
        <v>0</v>
      </c>
      <c r="V27" s="97">
        <f t="shared" si="2"/>
        <v>1111427500</v>
      </c>
      <c r="W27" s="98">
        <f t="shared" si="3"/>
        <v>960000</v>
      </c>
      <c r="X27" s="100">
        <f t="shared" si="4"/>
        <v>3000000</v>
      </c>
      <c r="Y27" s="101">
        <f t="shared" si="5"/>
        <v>1115387500</v>
      </c>
      <c r="Z27" s="101">
        <f t="shared" si="6"/>
        <v>1337673000</v>
      </c>
      <c r="AA27" s="17" t="s">
        <v>177</v>
      </c>
      <c r="AB27" s="17"/>
    </row>
    <row r="28" spans="1:28" s="18" customFormat="1" ht="56.25">
      <c r="A28" s="9">
        <v>21</v>
      </c>
      <c r="B28" s="19" t="s">
        <v>36</v>
      </c>
      <c r="C28" s="19" t="s">
        <v>103</v>
      </c>
      <c r="D28" s="11" t="s">
        <v>14</v>
      </c>
      <c r="E28" s="12" t="s">
        <v>37</v>
      </c>
      <c r="F28" s="26" t="s">
        <v>70</v>
      </c>
      <c r="G28" s="30" t="s">
        <v>78</v>
      </c>
      <c r="H28" s="30" t="s">
        <v>79</v>
      </c>
      <c r="I28" s="9">
        <v>48</v>
      </c>
      <c r="J28" s="12">
        <v>13</v>
      </c>
      <c r="K28" s="13">
        <v>648.20000000000005</v>
      </c>
      <c r="L28" s="14">
        <v>648.20000000000005</v>
      </c>
      <c r="M28" s="20">
        <v>0</v>
      </c>
      <c r="N28" s="16" t="s">
        <v>16</v>
      </c>
      <c r="O28" s="87">
        <v>648.20000000000005</v>
      </c>
      <c r="P28" s="99">
        <f t="shared" si="0"/>
        <v>1</v>
      </c>
      <c r="Q28" s="16">
        <v>1</v>
      </c>
      <c r="R28" s="17" t="s">
        <v>51</v>
      </c>
      <c r="S28" s="97">
        <f t="shared" si="1"/>
        <v>100471000</v>
      </c>
      <c r="T28" s="17">
        <v>0</v>
      </c>
      <c r="U28" s="83">
        <v>0</v>
      </c>
      <c r="V28" s="97">
        <f t="shared" si="2"/>
        <v>502355000</v>
      </c>
      <c r="W28" s="98">
        <f t="shared" si="3"/>
        <v>480000</v>
      </c>
      <c r="X28" s="100">
        <f t="shared" si="4"/>
        <v>1944600.0000000002</v>
      </c>
      <c r="Y28" s="101">
        <f t="shared" si="5"/>
        <v>504779600</v>
      </c>
      <c r="Z28" s="101">
        <f t="shared" si="6"/>
        <v>605250600</v>
      </c>
      <c r="AA28" s="17" t="s">
        <v>177</v>
      </c>
      <c r="AB28" s="17"/>
    </row>
    <row r="29" spans="1:28" s="44" customFormat="1" ht="38.25" customHeight="1">
      <c r="A29" s="33">
        <v>22</v>
      </c>
      <c r="B29" s="34" t="s">
        <v>71</v>
      </c>
      <c r="C29" s="34" t="s">
        <v>71</v>
      </c>
      <c r="D29" s="35" t="s">
        <v>14</v>
      </c>
      <c r="E29" s="36" t="s">
        <v>37</v>
      </c>
      <c r="F29" s="37" t="s">
        <v>72</v>
      </c>
      <c r="G29" s="92" t="s">
        <v>80</v>
      </c>
      <c r="H29" s="92" t="s">
        <v>81</v>
      </c>
      <c r="I29" s="33">
        <v>48</v>
      </c>
      <c r="J29" s="36">
        <v>14</v>
      </c>
      <c r="K29" s="39">
        <v>1753.1</v>
      </c>
      <c r="L29" s="40">
        <v>1130.7</v>
      </c>
      <c r="M29" s="41">
        <v>622.39999999999986</v>
      </c>
      <c r="N29" s="42" t="s">
        <v>16</v>
      </c>
      <c r="O29" s="93"/>
      <c r="P29" s="99" t="e">
        <f t="shared" si="0"/>
        <v>#DIV/0!</v>
      </c>
      <c r="Q29" s="42"/>
      <c r="R29" s="43" t="s">
        <v>51</v>
      </c>
      <c r="S29" s="97">
        <f t="shared" si="1"/>
        <v>175258500</v>
      </c>
      <c r="T29" s="43"/>
      <c r="U29" s="43"/>
      <c r="V29" s="97">
        <f t="shared" si="2"/>
        <v>876292500</v>
      </c>
      <c r="W29" s="98" t="e">
        <f t="shared" si="3"/>
        <v>#DIV/0!</v>
      </c>
      <c r="X29" s="100">
        <f t="shared" si="4"/>
        <v>3000000</v>
      </c>
      <c r="Y29" s="101" t="e">
        <f t="shared" si="5"/>
        <v>#DIV/0!</v>
      </c>
      <c r="Z29" s="101" t="e">
        <f t="shared" si="6"/>
        <v>#DIV/0!</v>
      </c>
      <c r="AA29" s="17"/>
      <c r="AB29" s="43"/>
    </row>
    <row r="30" spans="1:28" s="18" customFormat="1" ht="38.25" customHeight="1">
      <c r="A30" s="9">
        <v>23</v>
      </c>
      <c r="B30" s="10" t="s">
        <v>38</v>
      </c>
      <c r="C30" s="10" t="s">
        <v>38</v>
      </c>
      <c r="D30" s="11" t="s">
        <v>14</v>
      </c>
      <c r="E30" s="12" t="s">
        <v>29</v>
      </c>
      <c r="F30" s="26" t="s">
        <v>73</v>
      </c>
      <c r="G30" s="28" t="s">
        <v>111</v>
      </c>
      <c r="H30" s="28" t="s">
        <v>112</v>
      </c>
      <c r="I30" s="9">
        <v>48</v>
      </c>
      <c r="J30" s="12">
        <v>15</v>
      </c>
      <c r="K30" s="13">
        <v>2113.1999999999998</v>
      </c>
      <c r="L30" s="14">
        <v>851.6</v>
      </c>
      <c r="M30" s="15">
        <v>1261.5999999999999</v>
      </c>
      <c r="N30" s="16" t="s">
        <v>16</v>
      </c>
      <c r="O30" s="87">
        <v>2224.8000000000002</v>
      </c>
      <c r="P30" s="99">
        <f t="shared" si="0"/>
        <v>0.38279999999999997</v>
      </c>
      <c r="Q30" s="16">
        <v>2</v>
      </c>
      <c r="R30" s="17" t="s">
        <v>52</v>
      </c>
      <c r="S30" s="97">
        <f t="shared" si="1"/>
        <v>131998000</v>
      </c>
      <c r="T30" s="17">
        <v>0</v>
      </c>
      <c r="U30" s="83">
        <v>0</v>
      </c>
      <c r="V30" s="97">
        <f t="shared" si="2"/>
        <v>659990000</v>
      </c>
      <c r="W30" s="98">
        <f t="shared" si="3"/>
        <v>960000</v>
      </c>
      <c r="X30" s="100">
        <f t="shared" si="4"/>
        <v>2554800</v>
      </c>
      <c r="Y30" s="101">
        <f t="shared" si="5"/>
        <v>663504800</v>
      </c>
      <c r="Z30" s="101">
        <f t="shared" si="6"/>
        <v>795502800</v>
      </c>
      <c r="AA30" s="17" t="s">
        <v>177</v>
      </c>
      <c r="AB30" s="17"/>
    </row>
    <row r="31" spans="1:28" s="18" customFormat="1" ht="38.25" customHeight="1">
      <c r="A31" s="9">
        <v>24</v>
      </c>
      <c r="B31" s="10" t="s">
        <v>39</v>
      </c>
      <c r="C31" s="10" t="s">
        <v>39</v>
      </c>
      <c r="D31" s="11" t="s">
        <v>14</v>
      </c>
      <c r="E31" s="12" t="s">
        <v>32</v>
      </c>
      <c r="F31" s="26" t="s">
        <v>74</v>
      </c>
      <c r="G31" s="30" t="s">
        <v>104</v>
      </c>
      <c r="H31" s="30" t="s">
        <v>81</v>
      </c>
      <c r="I31" s="9">
        <v>48</v>
      </c>
      <c r="J31" s="12">
        <v>17</v>
      </c>
      <c r="K31" s="13">
        <v>7110.1</v>
      </c>
      <c r="L31" s="14">
        <v>99.2</v>
      </c>
      <c r="M31" s="15">
        <v>7010.9000000000005</v>
      </c>
      <c r="N31" s="16" t="s">
        <v>16</v>
      </c>
      <c r="O31" s="87">
        <v>7110.1</v>
      </c>
      <c r="P31" s="99">
        <f t="shared" si="0"/>
        <v>1.4E-2</v>
      </c>
      <c r="Q31" s="16">
        <v>4</v>
      </c>
      <c r="R31" s="17" t="s">
        <v>52</v>
      </c>
      <c r="S31" s="97">
        <f t="shared" si="1"/>
        <v>15376000</v>
      </c>
      <c r="T31" s="17">
        <v>0</v>
      </c>
      <c r="U31" s="83">
        <v>0</v>
      </c>
      <c r="V31" s="97">
        <f t="shared" si="2"/>
        <v>76880000</v>
      </c>
      <c r="W31" s="98">
        <f t="shared" si="3"/>
        <v>1920000</v>
      </c>
      <c r="X31" s="100">
        <f t="shared" si="4"/>
        <v>297600</v>
      </c>
      <c r="Y31" s="101">
        <f t="shared" si="5"/>
        <v>79097600</v>
      </c>
      <c r="Z31" s="101">
        <f t="shared" si="6"/>
        <v>94473600</v>
      </c>
      <c r="AA31" s="17" t="s">
        <v>177</v>
      </c>
      <c r="AB31" s="17"/>
    </row>
    <row r="32" spans="1:28" s="18" customFormat="1" ht="38.25" customHeight="1">
      <c r="A32" s="9">
        <v>25</v>
      </c>
      <c r="B32" s="10" t="s">
        <v>40</v>
      </c>
      <c r="C32" s="10" t="s">
        <v>40</v>
      </c>
      <c r="D32" s="11" t="s">
        <v>14</v>
      </c>
      <c r="E32" s="12" t="s">
        <v>29</v>
      </c>
      <c r="F32" s="26" t="s">
        <v>75</v>
      </c>
      <c r="G32" s="28" t="s">
        <v>110</v>
      </c>
      <c r="H32" s="28" t="s">
        <v>81</v>
      </c>
      <c r="I32" s="9">
        <v>48</v>
      </c>
      <c r="J32" s="12">
        <v>18</v>
      </c>
      <c r="K32" s="13">
        <v>1677.6</v>
      </c>
      <c r="L32" s="14">
        <v>35.700000000000003</v>
      </c>
      <c r="M32" s="15">
        <v>1641.8999999999999</v>
      </c>
      <c r="N32" s="16" t="s">
        <v>16</v>
      </c>
      <c r="O32" s="87">
        <v>1980</v>
      </c>
      <c r="P32" s="99">
        <f t="shared" si="0"/>
        <v>1.7999999999999999E-2</v>
      </c>
      <c r="Q32" s="16">
        <v>7</v>
      </c>
      <c r="R32" s="17" t="s">
        <v>52</v>
      </c>
      <c r="S32" s="97">
        <f t="shared" si="1"/>
        <v>5533500</v>
      </c>
      <c r="T32" s="17">
        <v>0</v>
      </c>
      <c r="U32" s="83">
        <v>0</v>
      </c>
      <c r="V32" s="97">
        <f t="shared" si="2"/>
        <v>27667500</v>
      </c>
      <c r="W32" s="98">
        <f t="shared" si="3"/>
        <v>3360000</v>
      </c>
      <c r="X32" s="100">
        <f t="shared" si="4"/>
        <v>107100.00000000001</v>
      </c>
      <c r="Y32" s="101">
        <f t="shared" si="5"/>
        <v>31134600</v>
      </c>
      <c r="Z32" s="101">
        <f t="shared" si="6"/>
        <v>36668100</v>
      </c>
      <c r="AA32" s="17" t="s">
        <v>177</v>
      </c>
      <c r="AB32" s="17"/>
    </row>
    <row r="33" spans="1:28" ht="36.75" customHeight="1">
      <c r="A33" s="314" t="s">
        <v>41</v>
      </c>
      <c r="B33" s="314"/>
      <c r="C33" s="25"/>
      <c r="D33" s="8"/>
      <c r="E33" s="21"/>
      <c r="F33" s="21"/>
      <c r="G33" s="31"/>
      <c r="H33" s="31"/>
      <c r="I33" s="21"/>
      <c r="J33" s="21"/>
      <c r="K33" s="22">
        <f>SUM(K8:K32)</f>
        <v>60843.299999999988</v>
      </c>
      <c r="L33" s="22">
        <f>SUM(L8:L32)</f>
        <v>23894.6</v>
      </c>
      <c r="M33" s="22">
        <f>SUM(M8:M32)</f>
        <v>36948.700000000004</v>
      </c>
      <c r="N33" s="21"/>
      <c r="O33" s="90">
        <f>SUM(O8:O32)</f>
        <v>67216.3</v>
      </c>
      <c r="P33" s="90"/>
      <c r="Q33" s="21"/>
      <c r="R33" s="8"/>
      <c r="S33" s="104">
        <f>SUM(S8:S32)</f>
        <v>3703663000</v>
      </c>
      <c r="T33" s="104" t="e">
        <f t="shared" ref="T33:Z33" si="7">SUM(T8:T32)</f>
        <v>#REF!</v>
      </c>
      <c r="U33" s="104" t="e">
        <f t="shared" si="7"/>
        <v>#REF!</v>
      </c>
      <c r="V33" s="104">
        <f t="shared" si="7"/>
        <v>18518315000</v>
      </c>
      <c r="W33" s="104" t="e">
        <f t="shared" si="7"/>
        <v>#DIV/0!</v>
      </c>
      <c r="X33" s="104">
        <f t="shared" si="7"/>
        <v>52310700</v>
      </c>
      <c r="Y33" s="104" t="e">
        <f t="shared" si="7"/>
        <v>#DIV/0!</v>
      </c>
      <c r="Z33" s="104" t="e">
        <f t="shared" si="7"/>
        <v>#REF!</v>
      </c>
      <c r="AA33" s="8"/>
      <c r="AB33" s="8"/>
    </row>
  </sheetData>
  <autoFilter ref="A6:AB33">
    <filterColumn colId="8" showButton="0"/>
    <filterColumn colId="9" showButton="0"/>
    <filterColumn colId="10" showButton="0"/>
    <filterColumn colId="11" showButton="0"/>
    <filterColumn colId="12" showButton="0"/>
  </autoFilter>
  <mergeCells count="29">
    <mergeCell ref="AB6:AB7"/>
    <mergeCell ref="Z6:Z7"/>
    <mergeCell ref="P6:P7"/>
    <mergeCell ref="AA6:AA7"/>
    <mergeCell ref="V6:V7"/>
    <mergeCell ref="W6:W7"/>
    <mergeCell ref="X6:X7"/>
    <mergeCell ref="Y6:Y7"/>
    <mergeCell ref="Q6:Q7"/>
    <mergeCell ref="R6:R7"/>
    <mergeCell ref="S6:S7"/>
    <mergeCell ref="T6:T7"/>
    <mergeCell ref="U6:U7"/>
    <mergeCell ref="A33:B33"/>
    <mergeCell ref="B1:D1"/>
    <mergeCell ref="J1:AB1"/>
    <mergeCell ref="A2:AB2"/>
    <mergeCell ref="A4:AB4"/>
    <mergeCell ref="A5:N5"/>
    <mergeCell ref="I6:N6"/>
    <mergeCell ref="A3:AB3"/>
    <mergeCell ref="A6:A7"/>
    <mergeCell ref="B6:B7"/>
    <mergeCell ref="D6:D7"/>
    <mergeCell ref="E6:E7"/>
    <mergeCell ref="F6:F7"/>
    <mergeCell ref="G6:G7"/>
    <mergeCell ref="H6:H7"/>
    <mergeCell ref="O6:O7"/>
  </mergeCells>
  <pageMargins left="0.4" right="0.2" top="0.25" bottom="0.25" header="0.3" footer="0.3"/>
  <pageSetup paperSize="9" scale="3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6"/>
  <sheetViews>
    <sheetView view="pageBreakPreview" zoomScale="90" zoomScaleNormal="100" zoomScaleSheetLayoutView="90" workbookViewId="0">
      <selection activeCell="A10" sqref="A10:K10"/>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60" customWidth="1"/>
    <col min="7" max="7" width="9.75" style="203" customWidth="1"/>
    <col min="8" max="8" width="13.375" style="221" customWidth="1"/>
    <col min="9" max="9" width="9.375" style="49" customWidth="1"/>
    <col min="10" max="10" width="17.625" style="60" customWidth="1"/>
    <col min="11" max="11" width="13.5" style="49" customWidth="1"/>
    <col min="12" max="12" width="8.125" style="49" customWidth="1"/>
    <col min="13" max="13" width="15.375" style="49" customWidth="1"/>
    <col min="14" max="14" width="9.75" style="49" customWidth="1"/>
    <col min="15" max="15" width="9" style="49"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46"/>
      <c r="G3" s="46"/>
      <c r="H3" s="207"/>
      <c r="I3" s="46"/>
      <c r="J3" s="46"/>
      <c r="K3" s="46"/>
    </row>
    <row r="4" spans="1:26" ht="16.5" customHeight="1">
      <c r="A4" s="420" t="s">
        <v>116</v>
      </c>
      <c r="B4" s="420"/>
      <c r="C4" s="420"/>
      <c r="D4" s="420"/>
      <c r="E4" s="107"/>
      <c r="F4" s="108"/>
      <c r="G4" s="198"/>
      <c r="H4" s="421"/>
      <c r="I4" s="421"/>
      <c r="J4" s="421"/>
      <c r="K4" s="421"/>
      <c r="L4" s="109"/>
      <c r="M4" s="109"/>
      <c r="N4" s="109"/>
      <c r="O4" s="109"/>
      <c r="P4" s="109"/>
      <c r="Q4" s="109"/>
      <c r="R4" s="109"/>
      <c r="S4" s="109"/>
      <c r="T4" s="107"/>
      <c r="U4" s="107"/>
      <c r="V4" s="107"/>
      <c r="W4" s="107"/>
      <c r="X4" s="107"/>
      <c r="Y4" s="107"/>
      <c r="Z4" s="110"/>
    </row>
    <row r="5" spans="1:26">
      <c r="A5" s="423"/>
      <c r="B5" s="423"/>
      <c r="C5" s="423"/>
      <c r="D5" s="423"/>
      <c r="E5" s="107"/>
      <c r="F5" s="108"/>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243</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94"/>
      <c r="G9" s="94"/>
      <c r="H9" s="209"/>
      <c r="I9" s="94"/>
      <c r="J9" s="94"/>
      <c r="K9" s="94"/>
    </row>
    <row r="10" spans="1:26">
      <c r="A10" s="424" t="s">
        <v>118</v>
      </c>
      <c r="B10" s="424"/>
      <c r="C10" s="424"/>
      <c r="D10" s="424"/>
      <c r="E10" s="424"/>
      <c r="F10" s="424"/>
      <c r="G10" s="424"/>
      <c r="H10" s="424"/>
      <c r="I10" s="424"/>
      <c r="J10" s="424"/>
      <c r="K10" s="424"/>
    </row>
    <row r="11" spans="1:26" ht="77.25" customHeight="1">
      <c r="A11" s="425" t="s">
        <v>364</v>
      </c>
      <c r="B11" s="411"/>
      <c r="C11" s="411"/>
      <c r="D11" s="411"/>
      <c r="E11" s="411"/>
      <c r="F11" s="411"/>
      <c r="G11" s="411"/>
      <c r="H11" s="411"/>
      <c r="I11" s="411"/>
      <c r="J11" s="411"/>
      <c r="K11" s="411"/>
    </row>
    <row r="12" spans="1:26" ht="96.75" customHeight="1">
      <c r="A12" s="411" t="s">
        <v>363</v>
      </c>
      <c r="B12" s="411"/>
      <c r="C12" s="411"/>
      <c r="D12" s="411"/>
      <c r="E12" s="411"/>
      <c r="F12" s="411"/>
      <c r="G12" s="411"/>
      <c r="H12" s="411"/>
      <c r="I12" s="411"/>
      <c r="J12" s="411"/>
      <c r="K12" s="411"/>
    </row>
    <row r="13" spans="1:26" ht="96.75" customHeight="1">
      <c r="A13" s="411" t="s">
        <v>362</v>
      </c>
      <c r="B13" s="411"/>
      <c r="C13" s="411"/>
      <c r="D13" s="411"/>
      <c r="E13" s="411"/>
      <c r="F13" s="411"/>
      <c r="G13" s="411"/>
      <c r="H13" s="411"/>
      <c r="I13" s="411"/>
      <c r="J13" s="411"/>
      <c r="K13" s="411"/>
    </row>
    <row r="14" spans="1:26" ht="57.75" customHeight="1">
      <c r="A14" s="433" t="s">
        <v>478</v>
      </c>
      <c r="B14" s="434"/>
      <c r="C14" s="434"/>
      <c r="D14" s="434"/>
      <c r="E14" s="434"/>
      <c r="F14" s="434"/>
      <c r="G14" s="434"/>
      <c r="H14" s="434"/>
      <c r="I14" s="434"/>
      <c r="J14" s="434"/>
      <c r="K14" s="434"/>
    </row>
    <row r="15" spans="1:26" ht="60" customHeight="1">
      <c r="A15" s="411" t="s">
        <v>361</v>
      </c>
      <c r="B15" s="411"/>
      <c r="C15" s="411"/>
      <c r="D15" s="411"/>
      <c r="E15" s="411"/>
      <c r="F15" s="411"/>
      <c r="G15" s="411"/>
      <c r="H15" s="411"/>
      <c r="I15" s="411"/>
      <c r="J15" s="411"/>
      <c r="K15" s="411"/>
    </row>
    <row r="16" spans="1:26" ht="39" customHeight="1">
      <c r="A16" s="411" t="s">
        <v>360</v>
      </c>
      <c r="B16" s="411"/>
      <c r="C16" s="411"/>
      <c r="D16" s="411"/>
      <c r="E16" s="411"/>
      <c r="F16" s="411"/>
      <c r="G16" s="411"/>
      <c r="H16" s="411"/>
      <c r="I16" s="411"/>
      <c r="J16" s="411"/>
      <c r="K16" s="411"/>
    </row>
    <row r="17" spans="1:16" ht="39" customHeight="1">
      <c r="A17" s="411" t="s">
        <v>359</v>
      </c>
      <c r="B17" s="411"/>
      <c r="C17" s="411"/>
      <c r="D17" s="411"/>
      <c r="E17" s="411"/>
      <c r="F17" s="411"/>
      <c r="G17" s="411"/>
      <c r="H17" s="411"/>
      <c r="I17" s="411"/>
      <c r="J17" s="411"/>
      <c r="K17" s="411"/>
    </row>
    <row r="18" spans="1:16" ht="99" customHeight="1">
      <c r="A18" s="411" t="s">
        <v>377</v>
      </c>
      <c r="B18" s="411"/>
      <c r="C18" s="411"/>
      <c r="D18" s="411"/>
      <c r="E18" s="411"/>
      <c r="F18" s="411"/>
      <c r="G18" s="411"/>
      <c r="H18" s="411"/>
      <c r="I18" s="411"/>
      <c r="J18" s="411"/>
      <c r="K18" s="411"/>
    </row>
    <row r="19" spans="1:16">
      <c r="A19" s="414" t="s">
        <v>205</v>
      </c>
      <c r="B19" s="414"/>
      <c r="C19" s="414"/>
      <c r="D19" s="414"/>
      <c r="E19" s="414"/>
      <c r="F19" s="414"/>
      <c r="G19" s="414"/>
      <c r="H19" s="414"/>
      <c r="I19" s="48"/>
      <c r="J19" s="48"/>
      <c r="K19" s="48"/>
    </row>
    <row r="20" spans="1:16">
      <c r="A20" s="414" t="s">
        <v>244</v>
      </c>
      <c r="B20" s="414"/>
      <c r="C20" s="414"/>
      <c r="D20" s="414"/>
      <c r="E20" s="414"/>
      <c r="F20" s="414"/>
      <c r="G20" s="414"/>
      <c r="H20" s="414"/>
      <c r="I20" s="414"/>
      <c r="J20" s="414"/>
      <c r="K20" s="414"/>
    </row>
    <row r="21" spans="1:16">
      <c r="A21" s="414" t="s">
        <v>245</v>
      </c>
      <c r="B21" s="414"/>
      <c r="C21" s="414"/>
      <c r="D21" s="414"/>
      <c r="E21" s="414"/>
      <c r="F21" s="414"/>
      <c r="G21" s="414"/>
      <c r="H21" s="414"/>
      <c r="I21" s="414"/>
      <c r="J21" s="414"/>
      <c r="K21" s="414"/>
    </row>
    <row r="22" spans="1:16" ht="21" customHeight="1">
      <c r="A22" s="395" t="s">
        <v>246</v>
      </c>
      <c r="B22" s="395"/>
      <c r="C22" s="395"/>
      <c r="D22" s="395"/>
      <c r="E22" s="395"/>
      <c r="F22" s="395" t="s">
        <v>247</v>
      </c>
      <c r="G22" s="395"/>
      <c r="H22" s="395"/>
      <c r="I22" s="50"/>
      <c r="J22" s="50"/>
      <c r="K22" s="50"/>
    </row>
    <row r="23" spans="1:16" ht="20.25" customHeight="1">
      <c r="A23" s="395" t="s">
        <v>248</v>
      </c>
      <c r="B23" s="395"/>
      <c r="C23" s="395"/>
      <c r="D23" s="395"/>
      <c r="E23" s="395"/>
      <c r="F23" s="395"/>
      <c r="G23" s="395"/>
      <c r="H23" s="422" t="s">
        <v>119</v>
      </c>
      <c r="I23" s="422"/>
      <c r="J23" s="112" t="s">
        <v>222</v>
      </c>
      <c r="K23" s="50"/>
    </row>
    <row r="24" spans="1:16" ht="20.25" customHeight="1">
      <c r="A24" s="395" t="s">
        <v>249</v>
      </c>
      <c r="B24" s="395"/>
      <c r="C24" s="395"/>
      <c r="D24" s="395"/>
      <c r="E24" s="395"/>
      <c r="F24" s="395"/>
      <c r="G24" s="395"/>
      <c r="H24" s="395"/>
      <c r="I24" s="395"/>
      <c r="J24" s="395"/>
      <c r="K24" s="395"/>
    </row>
    <row r="25" spans="1:16" ht="20.25" customHeight="1">
      <c r="A25" s="395" t="s">
        <v>120</v>
      </c>
      <c r="B25" s="395"/>
      <c r="C25" s="395"/>
      <c r="D25" s="395"/>
      <c r="E25" s="395"/>
      <c r="F25" s="395"/>
      <c r="G25" s="395"/>
      <c r="H25" s="210">
        <v>5</v>
      </c>
      <c r="I25" s="395" t="s">
        <v>121</v>
      </c>
      <c r="J25" s="395"/>
      <c r="K25" s="50"/>
      <c r="L25" s="48"/>
      <c r="M25" s="48"/>
      <c r="O25" s="48"/>
      <c r="P25" s="48"/>
    </row>
    <row r="26" spans="1:16">
      <c r="A26" s="414" t="s">
        <v>122</v>
      </c>
      <c r="B26" s="414"/>
      <c r="C26" s="414"/>
      <c r="D26" s="414"/>
      <c r="E26" s="414"/>
      <c r="F26" s="414"/>
      <c r="G26" s="199"/>
      <c r="H26" s="396" t="s">
        <v>125</v>
      </c>
      <c r="I26" s="396"/>
      <c r="J26" s="50"/>
      <c r="K26" s="50"/>
    </row>
    <row r="27" spans="1:16" s="115" customFormat="1" ht="43.5" customHeight="1">
      <c r="A27" s="426" t="s">
        <v>123</v>
      </c>
      <c r="B27" s="426"/>
      <c r="C27" s="426"/>
      <c r="D27" s="426"/>
      <c r="E27" s="426"/>
      <c r="F27" s="113">
        <v>1475.8</v>
      </c>
      <c r="G27" s="200" t="s">
        <v>179</v>
      </c>
      <c r="H27" s="397" t="str">
        <f>"(Chiếm "&amp;N73&amp;"% Tổng diện tích đất nông nghiệp được giao đang sử dụng)"</f>
        <v>(Chiếm 40,84% Tổng diện tích đất nông nghiệp được giao đang sử dụng)</v>
      </c>
      <c r="I27" s="397"/>
      <c r="J27" s="397"/>
      <c r="K27" s="397"/>
    </row>
    <row r="28" spans="1:16" ht="38.25" customHeight="1">
      <c r="A28" s="394" t="s">
        <v>476</v>
      </c>
      <c r="B28" s="394"/>
      <c r="C28" s="394"/>
      <c r="D28" s="394"/>
      <c r="E28" s="394"/>
      <c r="F28" s="394"/>
      <c r="G28" s="394"/>
      <c r="H28" s="394"/>
      <c r="I28" s="394"/>
      <c r="J28" s="394"/>
      <c r="K28" s="394"/>
    </row>
    <row r="29" spans="1:16" ht="42.75" customHeight="1">
      <c r="A29" s="395" t="s">
        <v>346</v>
      </c>
      <c r="B29" s="395"/>
      <c r="C29" s="395"/>
      <c r="D29" s="395"/>
      <c r="E29" s="395"/>
      <c r="F29" s="116">
        <f>400.8+565</f>
        <v>965.8</v>
      </c>
      <c r="G29" s="190" t="s">
        <v>180</v>
      </c>
      <c r="H29" s="396"/>
      <c r="I29" s="396"/>
      <c r="J29" s="50"/>
      <c r="K29" s="50"/>
    </row>
    <row r="30" spans="1:16" s="120" customFormat="1" ht="22.5">
      <c r="A30" s="398" t="s">
        <v>348</v>
      </c>
      <c r="B30" s="398"/>
      <c r="C30" s="398"/>
      <c r="D30" s="398"/>
      <c r="E30" s="398"/>
      <c r="F30" s="119">
        <f>48+565</f>
        <v>613</v>
      </c>
      <c r="G30" s="190" t="s">
        <v>181</v>
      </c>
      <c r="H30" s="397"/>
      <c r="I30" s="397"/>
      <c r="J30" s="397"/>
      <c r="K30" s="397"/>
    </row>
    <row r="31" spans="1:16" s="120" customFormat="1" ht="22.5">
      <c r="A31" s="399" t="s">
        <v>347</v>
      </c>
      <c r="B31" s="399"/>
      <c r="C31" s="399"/>
      <c r="D31" s="399"/>
      <c r="E31" s="399"/>
      <c r="F31" s="119">
        <f>F29-F30</f>
        <v>352.79999999999995</v>
      </c>
      <c r="G31" s="190" t="s">
        <v>181</v>
      </c>
      <c r="H31" s="213"/>
      <c r="I31" s="122"/>
      <c r="J31" s="122"/>
      <c r="K31" s="122"/>
    </row>
    <row r="32" spans="1:16" ht="175.5" customHeight="1">
      <c r="A32" s="437" t="s">
        <v>489</v>
      </c>
      <c r="B32" s="437"/>
      <c r="C32" s="437"/>
      <c r="D32" s="437"/>
      <c r="E32" s="437"/>
      <c r="F32" s="437"/>
      <c r="G32" s="437"/>
      <c r="H32" s="437"/>
      <c r="I32" s="437"/>
      <c r="J32" s="437"/>
      <c r="K32" s="437"/>
    </row>
    <row r="33" spans="1:11" ht="18.75" customHeight="1">
      <c r="A33" s="414" t="s">
        <v>206</v>
      </c>
      <c r="B33" s="414"/>
      <c r="C33" s="414"/>
      <c r="D33" s="414"/>
      <c r="E33" s="414"/>
      <c r="F33" s="414"/>
      <c r="G33" s="414"/>
      <c r="H33" s="414"/>
      <c r="I33" s="414"/>
      <c r="J33" s="414"/>
      <c r="K33" s="414"/>
    </row>
    <row r="34" spans="1:11" s="48" customFormat="1">
      <c r="A34" s="427" t="s">
        <v>128</v>
      </c>
      <c r="B34" s="427"/>
      <c r="C34" s="427"/>
      <c r="D34" s="427"/>
      <c r="E34" s="52"/>
      <c r="F34" s="53"/>
      <c r="G34" s="201"/>
      <c r="H34" s="214"/>
      <c r="I34" s="52"/>
      <c r="J34" s="53"/>
      <c r="K34" s="52"/>
    </row>
    <row r="35" spans="1:11" s="47" customFormat="1" ht="75.75" customHeight="1">
      <c r="A35" s="95" t="s">
        <v>129</v>
      </c>
      <c r="B35" s="403" t="s">
        <v>12</v>
      </c>
      <c r="C35" s="428"/>
      <c r="D35" s="95" t="s">
        <v>130</v>
      </c>
      <c r="E35" s="95" t="s">
        <v>131</v>
      </c>
      <c r="F35" s="429" t="s">
        <v>477</v>
      </c>
      <c r="G35" s="430"/>
      <c r="H35" s="215" t="s">
        <v>132</v>
      </c>
      <c r="I35" s="95" t="s">
        <v>133</v>
      </c>
      <c r="J35" s="96" t="s">
        <v>134</v>
      </c>
      <c r="K35" s="95" t="s">
        <v>6</v>
      </c>
    </row>
    <row r="36" spans="1:11" s="52" customFormat="1" ht="33" customHeight="1">
      <c r="A36" s="70">
        <v>1</v>
      </c>
      <c r="B36" s="431" t="s">
        <v>352</v>
      </c>
      <c r="C36" s="432"/>
      <c r="D36" s="65" t="s">
        <v>182</v>
      </c>
      <c r="E36" s="123">
        <f>F30-E37</f>
        <v>602.70000000000005</v>
      </c>
      <c r="F36" s="392">
        <v>155000</v>
      </c>
      <c r="G36" s="393"/>
      <c r="H36" s="216"/>
      <c r="I36" s="67">
        <v>1</v>
      </c>
      <c r="J36" s="71">
        <f>E36*F36*I36</f>
        <v>93418500</v>
      </c>
      <c r="K36" s="70"/>
    </row>
    <row r="37" spans="1:11" s="52" customFormat="1" ht="44.25" customHeight="1">
      <c r="A37" s="47">
        <v>2</v>
      </c>
      <c r="B37" s="390" t="s">
        <v>343</v>
      </c>
      <c r="C37" s="391"/>
      <c r="D37" s="65" t="s">
        <v>182</v>
      </c>
      <c r="E37" s="123">
        <v>10.3</v>
      </c>
      <c r="F37" s="392"/>
      <c r="G37" s="393"/>
      <c r="H37" s="216"/>
      <c r="I37" s="67"/>
      <c r="J37" s="71"/>
      <c r="K37" s="261" t="s">
        <v>344</v>
      </c>
    </row>
    <row r="38" spans="1:11" s="128" customFormat="1" ht="36" customHeight="1">
      <c r="A38" s="405" t="s">
        <v>136</v>
      </c>
      <c r="B38" s="405"/>
      <c r="C38" s="405"/>
      <c r="D38" s="405"/>
      <c r="E38" s="124">
        <f>SUM(E36:E37)</f>
        <v>613</v>
      </c>
      <c r="F38" s="405"/>
      <c r="G38" s="405"/>
      <c r="H38" s="217"/>
      <c r="I38" s="125"/>
      <c r="J38" s="126">
        <f>SUM(J36:J36)</f>
        <v>93418500</v>
      </c>
      <c r="K38" s="127"/>
    </row>
    <row r="39" spans="1:11" s="47" customFormat="1">
      <c r="A39" s="406"/>
      <c r="B39" s="406"/>
      <c r="C39" s="406"/>
      <c r="D39" s="406"/>
      <c r="E39" s="406"/>
      <c r="F39" s="406"/>
      <c r="G39" s="406"/>
      <c r="H39" s="406"/>
      <c r="I39" s="406"/>
      <c r="J39" s="406"/>
      <c r="K39" s="406"/>
    </row>
    <row r="40" spans="1:11" s="129" customFormat="1" ht="39.75" customHeight="1">
      <c r="A40" s="407" t="s">
        <v>137</v>
      </c>
      <c r="B40" s="407"/>
      <c r="C40" s="407"/>
      <c r="D40" s="407"/>
      <c r="E40" s="407"/>
      <c r="F40" s="407"/>
      <c r="G40" s="407"/>
      <c r="H40" s="407"/>
      <c r="I40" s="407"/>
      <c r="J40" s="407"/>
      <c r="K40" s="407"/>
    </row>
    <row r="41" spans="1:11" s="130" customFormat="1" ht="62.25" customHeight="1">
      <c r="A41" s="95" t="s">
        <v>138</v>
      </c>
      <c r="B41" s="408" t="s">
        <v>139</v>
      </c>
      <c r="C41" s="409"/>
      <c r="D41" s="409"/>
      <c r="E41" s="409"/>
      <c r="F41" s="409"/>
      <c r="G41" s="409"/>
      <c r="H41" s="409"/>
      <c r="I41" s="409"/>
      <c r="J41" s="409"/>
      <c r="K41" s="410"/>
    </row>
    <row r="42" spans="1:11" ht="27.75" customHeight="1">
      <c r="A42" s="403" t="s">
        <v>129</v>
      </c>
      <c r="B42" s="403" t="s">
        <v>140</v>
      </c>
      <c r="C42" s="403" t="s">
        <v>141</v>
      </c>
      <c r="D42" s="403" t="s">
        <v>142</v>
      </c>
      <c r="E42" s="403"/>
      <c r="F42" s="403"/>
      <c r="G42" s="403" t="s">
        <v>143</v>
      </c>
      <c r="H42" s="330" t="s">
        <v>144</v>
      </c>
      <c r="I42" s="403" t="s">
        <v>133</v>
      </c>
      <c r="J42" s="404" t="s">
        <v>134</v>
      </c>
      <c r="K42" s="403" t="s">
        <v>6</v>
      </c>
    </row>
    <row r="43" spans="1:11" ht="35.25" customHeight="1">
      <c r="A43" s="403"/>
      <c r="B43" s="403"/>
      <c r="C43" s="403"/>
      <c r="D43" s="54" t="s">
        <v>145</v>
      </c>
      <c r="E43" s="54" t="s">
        <v>146</v>
      </c>
      <c r="F43" s="55" t="s">
        <v>165</v>
      </c>
      <c r="G43" s="403"/>
      <c r="H43" s="330"/>
      <c r="I43" s="403"/>
      <c r="J43" s="404"/>
      <c r="K43" s="403"/>
    </row>
    <row r="44" spans="1:11" s="69" customFormat="1" ht="19.5">
      <c r="A44" s="440" t="s">
        <v>147</v>
      </c>
      <c r="B44" s="440"/>
      <c r="C44" s="440"/>
      <c r="D44" s="131"/>
      <c r="E44" s="132"/>
      <c r="F44" s="133"/>
      <c r="G44" s="202"/>
      <c r="H44" s="218"/>
      <c r="I44" s="58"/>
      <c r="J44" s="134">
        <v>0</v>
      </c>
      <c r="K44" s="135"/>
    </row>
    <row r="45" spans="1:11" s="69" customFormat="1" ht="44.25" customHeight="1">
      <c r="A45" s="95" t="s">
        <v>148</v>
      </c>
      <c r="B45" s="408" t="s">
        <v>351</v>
      </c>
      <c r="C45" s="409"/>
      <c r="D45" s="409"/>
      <c r="E45" s="409"/>
      <c r="F45" s="409"/>
      <c r="G45" s="409"/>
      <c r="H45" s="409"/>
      <c r="I45" s="409"/>
      <c r="J45" s="409"/>
      <c r="K45" s="410"/>
    </row>
    <row r="46" spans="1:11" s="69" customFormat="1" ht="61.5" customHeight="1">
      <c r="A46" s="56" t="s">
        <v>129</v>
      </c>
      <c r="B46" s="56" t="s">
        <v>149</v>
      </c>
      <c r="C46" s="56" t="s">
        <v>141</v>
      </c>
      <c r="D46" s="415" t="s">
        <v>150</v>
      </c>
      <c r="E46" s="416"/>
      <c r="F46" s="417"/>
      <c r="G46" s="57" t="s">
        <v>151</v>
      </c>
      <c r="H46" s="219" t="s">
        <v>144</v>
      </c>
      <c r="I46" s="58" t="s">
        <v>133</v>
      </c>
      <c r="J46" s="59" t="s">
        <v>134</v>
      </c>
      <c r="K46" s="56" t="s">
        <v>6</v>
      </c>
    </row>
    <row r="47" spans="1:11" s="195" customFormat="1" ht="35.25" customHeight="1">
      <c r="A47" s="194">
        <v>1</v>
      </c>
      <c r="B47" s="197" t="s">
        <v>251</v>
      </c>
      <c r="C47" s="194" t="s">
        <v>250</v>
      </c>
      <c r="D47" s="387"/>
      <c r="E47" s="388"/>
      <c r="F47" s="389"/>
      <c r="G47" s="194">
        <v>114</v>
      </c>
      <c r="H47" s="220">
        <v>2600</v>
      </c>
      <c r="I47" s="67">
        <v>0</v>
      </c>
      <c r="J47" s="136">
        <f t="shared" ref="J47:J64" si="0">ROUND(G47*H47*I47,2)</f>
        <v>0</v>
      </c>
      <c r="K47" s="194"/>
    </row>
    <row r="48" spans="1:11" s="195" customFormat="1" ht="35.25" customHeight="1">
      <c r="A48" s="194">
        <v>2</v>
      </c>
      <c r="B48" s="197" t="s">
        <v>252</v>
      </c>
      <c r="C48" s="194" t="s">
        <v>250</v>
      </c>
      <c r="D48" s="387"/>
      <c r="E48" s="388"/>
      <c r="F48" s="389"/>
      <c r="G48" s="194">
        <v>166</v>
      </c>
      <c r="H48" s="220">
        <v>5300</v>
      </c>
      <c r="I48" s="67">
        <v>0</v>
      </c>
      <c r="J48" s="136">
        <f t="shared" si="0"/>
        <v>0</v>
      </c>
      <c r="K48" s="194"/>
    </row>
    <row r="49" spans="1:11" s="195" customFormat="1" ht="35.25" customHeight="1">
      <c r="A49" s="194">
        <v>3</v>
      </c>
      <c r="B49" s="197" t="s">
        <v>253</v>
      </c>
      <c r="C49" s="194" t="s">
        <v>250</v>
      </c>
      <c r="D49" s="387"/>
      <c r="E49" s="388"/>
      <c r="F49" s="389"/>
      <c r="G49" s="194">
        <v>14</v>
      </c>
      <c r="H49" s="220">
        <v>4200</v>
      </c>
      <c r="I49" s="67">
        <v>0</v>
      </c>
      <c r="J49" s="136">
        <f t="shared" si="0"/>
        <v>0</v>
      </c>
      <c r="K49" s="194"/>
    </row>
    <row r="50" spans="1:11" s="195" customFormat="1" ht="35.25" customHeight="1">
      <c r="A50" s="194">
        <v>4</v>
      </c>
      <c r="B50" s="197" t="s">
        <v>254</v>
      </c>
      <c r="C50" s="194" t="s">
        <v>255</v>
      </c>
      <c r="D50" s="387" t="s">
        <v>261</v>
      </c>
      <c r="E50" s="388"/>
      <c r="F50" s="389"/>
      <c r="G50" s="194">
        <v>1</v>
      </c>
      <c r="H50" s="220">
        <v>71800</v>
      </c>
      <c r="I50" s="67">
        <v>0</v>
      </c>
      <c r="J50" s="136">
        <f t="shared" si="0"/>
        <v>0</v>
      </c>
      <c r="K50" s="194"/>
    </row>
    <row r="51" spans="1:11" s="195" customFormat="1" ht="35.25" customHeight="1">
      <c r="A51" s="400">
        <v>5</v>
      </c>
      <c r="B51" s="412" t="s">
        <v>256</v>
      </c>
      <c r="C51" s="400" t="s">
        <v>255</v>
      </c>
      <c r="D51" s="387" t="s">
        <v>262</v>
      </c>
      <c r="E51" s="388"/>
      <c r="F51" s="389"/>
      <c r="G51" s="194">
        <v>1</v>
      </c>
      <c r="H51" s="220">
        <v>31500</v>
      </c>
      <c r="I51" s="67">
        <v>0</v>
      </c>
      <c r="J51" s="136">
        <f t="shared" si="0"/>
        <v>0</v>
      </c>
      <c r="K51" s="194"/>
    </row>
    <row r="52" spans="1:11" s="195" customFormat="1" ht="35.25" customHeight="1">
      <c r="A52" s="402"/>
      <c r="B52" s="413"/>
      <c r="C52" s="402"/>
      <c r="D52" s="387" t="s">
        <v>263</v>
      </c>
      <c r="E52" s="388"/>
      <c r="F52" s="389"/>
      <c r="G52" s="194">
        <v>1</v>
      </c>
      <c r="H52" s="220">
        <v>84000</v>
      </c>
      <c r="I52" s="67">
        <v>0</v>
      </c>
      <c r="J52" s="136">
        <f t="shared" si="0"/>
        <v>0</v>
      </c>
      <c r="K52" s="194"/>
    </row>
    <row r="53" spans="1:11" s="195" customFormat="1" ht="35.25" customHeight="1">
      <c r="A53" s="194">
        <v>6</v>
      </c>
      <c r="B53" s="197" t="s">
        <v>258</v>
      </c>
      <c r="C53" s="194" t="s">
        <v>250</v>
      </c>
      <c r="D53" s="387"/>
      <c r="E53" s="388"/>
      <c r="F53" s="389"/>
      <c r="G53" s="194">
        <v>7</v>
      </c>
      <c r="H53" s="220">
        <v>5300</v>
      </c>
      <c r="I53" s="67">
        <v>0</v>
      </c>
      <c r="J53" s="136">
        <f t="shared" si="0"/>
        <v>0</v>
      </c>
      <c r="K53" s="194"/>
    </row>
    <row r="54" spans="1:11" s="195" customFormat="1" ht="33.75" customHeight="1">
      <c r="A54" s="400">
        <v>7</v>
      </c>
      <c r="B54" s="412" t="s">
        <v>257</v>
      </c>
      <c r="C54" s="400" t="s">
        <v>255</v>
      </c>
      <c r="D54" s="387" t="s">
        <v>264</v>
      </c>
      <c r="E54" s="388"/>
      <c r="F54" s="389"/>
      <c r="G54" s="194">
        <v>6</v>
      </c>
      <c r="H54" s="220">
        <v>63000</v>
      </c>
      <c r="I54" s="67">
        <v>0</v>
      </c>
      <c r="J54" s="136">
        <f t="shared" si="0"/>
        <v>0</v>
      </c>
      <c r="K54" s="194"/>
    </row>
    <row r="55" spans="1:11" s="195" customFormat="1" ht="33.75" customHeight="1">
      <c r="A55" s="402"/>
      <c r="B55" s="413"/>
      <c r="C55" s="402"/>
      <c r="D55" s="387" t="s">
        <v>265</v>
      </c>
      <c r="E55" s="388"/>
      <c r="F55" s="389"/>
      <c r="G55" s="194">
        <v>7</v>
      </c>
      <c r="H55" s="220">
        <v>126000</v>
      </c>
      <c r="I55" s="67">
        <v>0</v>
      </c>
      <c r="J55" s="136">
        <f t="shared" si="0"/>
        <v>0</v>
      </c>
      <c r="K55" s="194"/>
    </row>
    <row r="56" spans="1:11" s="195" customFormat="1" ht="33.75" customHeight="1">
      <c r="A56" s="400">
        <v>8</v>
      </c>
      <c r="B56" s="412" t="s">
        <v>259</v>
      </c>
      <c r="C56" s="400" t="s">
        <v>255</v>
      </c>
      <c r="D56" s="387" t="s">
        <v>266</v>
      </c>
      <c r="E56" s="388"/>
      <c r="F56" s="389"/>
      <c r="G56" s="194">
        <v>2</v>
      </c>
      <c r="H56" s="220">
        <v>567000</v>
      </c>
      <c r="I56" s="67">
        <v>0</v>
      </c>
      <c r="J56" s="136">
        <f t="shared" si="0"/>
        <v>0</v>
      </c>
      <c r="K56" s="194"/>
    </row>
    <row r="57" spans="1:11" s="196" customFormat="1" ht="33.75" customHeight="1">
      <c r="A57" s="402"/>
      <c r="B57" s="413"/>
      <c r="C57" s="402"/>
      <c r="D57" s="387" t="s">
        <v>267</v>
      </c>
      <c r="E57" s="388"/>
      <c r="F57" s="389"/>
      <c r="G57" s="194">
        <v>2</v>
      </c>
      <c r="H57" s="220">
        <v>420000</v>
      </c>
      <c r="I57" s="67">
        <v>0</v>
      </c>
      <c r="J57" s="136">
        <f t="shared" si="0"/>
        <v>0</v>
      </c>
      <c r="K57" s="70"/>
    </row>
    <row r="58" spans="1:11" s="196" customFormat="1" ht="33.75" customHeight="1">
      <c r="A58" s="400">
        <v>9</v>
      </c>
      <c r="B58" s="386" t="s">
        <v>260</v>
      </c>
      <c r="C58" s="400" t="s">
        <v>255</v>
      </c>
      <c r="D58" s="387" t="s">
        <v>268</v>
      </c>
      <c r="E58" s="388"/>
      <c r="F58" s="389"/>
      <c r="G58" s="194">
        <v>30</v>
      </c>
      <c r="H58" s="220">
        <v>7400</v>
      </c>
      <c r="I58" s="67">
        <v>0</v>
      </c>
      <c r="J58" s="136">
        <f t="shared" si="0"/>
        <v>0</v>
      </c>
      <c r="K58" s="70"/>
    </row>
    <row r="59" spans="1:11" s="196" customFormat="1" ht="33.75" customHeight="1">
      <c r="A59" s="401"/>
      <c r="B59" s="386"/>
      <c r="C59" s="401"/>
      <c r="D59" s="387" t="s">
        <v>269</v>
      </c>
      <c r="E59" s="388"/>
      <c r="F59" s="389"/>
      <c r="G59" s="194">
        <v>34</v>
      </c>
      <c r="H59" s="220">
        <v>21000</v>
      </c>
      <c r="I59" s="67">
        <v>0</v>
      </c>
      <c r="J59" s="136">
        <f t="shared" si="0"/>
        <v>0</v>
      </c>
      <c r="K59" s="70"/>
    </row>
    <row r="60" spans="1:11" s="196" customFormat="1" ht="33.75" customHeight="1">
      <c r="A60" s="402"/>
      <c r="B60" s="386"/>
      <c r="C60" s="402"/>
      <c r="D60" s="387" t="s">
        <v>270</v>
      </c>
      <c r="E60" s="388"/>
      <c r="F60" s="389"/>
      <c r="G60" s="194">
        <v>2</v>
      </c>
      <c r="H60" s="220">
        <v>42000</v>
      </c>
      <c r="I60" s="67">
        <v>0</v>
      </c>
      <c r="J60" s="136">
        <f t="shared" si="0"/>
        <v>0</v>
      </c>
      <c r="K60" s="70"/>
    </row>
    <row r="61" spans="1:11" s="196" customFormat="1" ht="33.75" customHeight="1">
      <c r="A61" s="205">
        <v>10</v>
      </c>
      <c r="B61" s="224" t="s">
        <v>271</v>
      </c>
      <c r="C61" s="205" t="s">
        <v>255</v>
      </c>
      <c r="D61" s="387" t="s">
        <v>274</v>
      </c>
      <c r="E61" s="388"/>
      <c r="F61" s="389"/>
      <c r="G61" s="194">
        <v>1</v>
      </c>
      <c r="H61" s="220">
        <v>99800</v>
      </c>
      <c r="I61" s="67">
        <v>0</v>
      </c>
      <c r="J61" s="136">
        <f t="shared" si="0"/>
        <v>0</v>
      </c>
      <c r="K61" s="70"/>
    </row>
    <row r="62" spans="1:11" s="196" customFormat="1" ht="45.75" customHeight="1">
      <c r="A62" s="400">
        <v>11</v>
      </c>
      <c r="B62" s="386" t="s">
        <v>272</v>
      </c>
      <c r="C62" s="400" t="s">
        <v>255</v>
      </c>
      <c r="D62" s="387" t="s">
        <v>275</v>
      </c>
      <c r="E62" s="388"/>
      <c r="F62" s="389"/>
      <c r="G62" s="194">
        <v>2</v>
      </c>
      <c r="H62" s="220">
        <v>168000</v>
      </c>
      <c r="I62" s="67">
        <v>0</v>
      </c>
      <c r="J62" s="136">
        <f t="shared" si="0"/>
        <v>0</v>
      </c>
      <c r="K62" s="70"/>
    </row>
    <row r="63" spans="1:11" s="196" customFormat="1" ht="45.75" customHeight="1">
      <c r="A63" s="402"/>
      <c r="B63" s="386"/>
      <c r="C63" s="402"/>
      <c r="D63" s="387" t="s">
        <v>276</v>
      </c>
      <c r="E63" s="388"/>
      <c r="F63" s="389"/>
      <c r="G63" s="194">
        <v>3</v>
      </c>
      <c r="H63" s="220">
        <v>252000</v>
      </c>
      <c r="I63" s="67">
        <v>0</v>
      </c>
      <c r="J63" s="136">
        <f t="shared" si="0"/>
        <v>0</v>
      </c>
      <c r="K63" s="70"/>
    </row>
    <row r="64" spans="1:11" s="196" customFormat="1" ht="45.75" customHeight="1">
      <c r="A64" s="70">
        <v>12</v>
      </c>
      <c r="B64" s="204" t="s">
        <v>273</v>
      </c>
      <c r="C64" s="68" t="s">
        <v>255</v>
      </c>
      <c r="D64" s="387" t="s">
        <v>277</v>
      </c>
      <c r="E64" s="388"/>
      <c r="F64" s="389"/>
      <c r="G64" s="194">
        <v>3</v>
      </c>
      <c r="H64" s="220">
        <v>167600</v>
      </c>
      <c r="I64" s="67">
        <v>0</v>
      </c>
      <c r="J64" s="136">
        <f t="shared" si="0"/>
        <v>0</v>
      </c>
      <c r="K64" s="70"/>
    </row>
    <row r="65" spans="1:15" s="47" customFormat="1">
      <c r="A65" s="403" t="s">
        <v>147</v>
      </c>
      <c r="B65" s="403"/>
      <c r="C65" s="403"/>
      <c r="D65" s="403"/>
      <c r="E65" s="403"/>
      <c r="F65" s="403"/>
      <c r="G65" s="95"/>
      <c r="H65" s="217"/>
      <c r="I65" s="137"/>
      <c r="J65" s="138">
        <f>SUM(J47:J64)</f>
        <v>0</v>
      </c>
      <c r="K65" s="70"/>
    </row>
    <row r="66" spans="1:15" s="47" customFormat="1" ht="18.75" customHeight="1">
      <c r="A66" s="415" t="s">
        <v>152</v>
      </c>
      <c r="B66" s="416"/>
      <c r="C66" s="416"/>
      <c r="D66" s="416"/>
      <c r="E66" s="416"/>
      <c r="F66" s="416"/>
      <c r="G66" s="416"/>
      <c r="H66" s="416"/>
      <c r="I66" s="417"/>
      <c r="J66" s="138">
        <f>J65+J44</f>
        <v>0</v>
      </c>
      <c r="K66" s="70"/>
    </row>
    <row r="67" spans="1:15" ht="22.5" customHeight="1">
      <c r="A67" s="414" t="s">
        <v>153</v>
      </c>
      <c r="B67" s="414"/>
      <c r="C67" s="414"/>
    </row>
    <row r="68" spans="1:15" ht="42.75" customHeight="1">
      <c r="A68" s="95" t="s">
        <v>129</v>
      </c>
      <c r="B68" s="415" t="s">
        <v>154</v>
      </c>
      <c r="C68" s="416"/>
      <c r="D68" s="416"/>
      <c r="E68" s="417"/>
      <c r="F68" s="95" t="s">
        <v>130</v>
      </c>
      <c r="G68" s="95" t="s">
        <v>151</v>
      </c>
      <c r="H68" s="222" t="s">
        <v>144</v>
      </c>
      <c r="I68" s="61" t="s">
        <v>155</v>
      </c>
      <c r="J68" s="96" t="s">
        <v>134</v>
      </c>
      <c r="K68" s="95" t="s">
        <v>6</v>
      </c>
    </row>
    <row r="69" spans="1:15" ht="100.5" customHeight="1">
      <c r="A69" s="70">
        <v>1</v>
      </c>
      <c r="B69" s="439" t="s">
        <v>156</v>
      </c>
      <c r="C69" s="439"/>
      <c r="D69" s="439"/>
      <c r="E69" s="439"/>
      <c r="F69" s="70" t="s">
        <v>182</v>
      </c>
      <c r="G69" s="139">
        <f>F30-10.3</f>
        <v>602.70000000000005</v>
      </c>
      <c r="H69" s="223">
        <f>155000*5</f>
        <v>775000</v>
      </c>
      <c r="I69" s="67">
        <v>1</v>
      </c>
      <c r="J69" s="136">
        <f>ROUND(G69*H69*I69,2)</f>
        <v>467092500</v>
      </c>
      <c r="K69" s="62" t="s">
        <v>157</v>
      </c>
    </row>
    <row r="70" spans="1:15" ht="116.25" customHeight="1">
      <c r="A70" s="70">
        <v>2</v>
      </c>
      <c r="B70" s="439" t="s">
        <v>369</v>
      </c>
      <c r="C70" s="439"/>
      <c r="D70" s="439"/>
      <c r="E70" s="439"/>
      <c r="F70" s="70" t="s">
        <v>158</v>
      </c>
      <c r="G70" s="441" t="s">
        <v>495</v>
      </c>
      <c r="H70" s="442"/>
      <c r="I70" s="443"/>
      <c r="J70" s="140">
        <f>H25*30*16000*6</f>
        <v>14400000</v>
      </c>
      <c r="K70" s="63" t="str">
        <f>IF(N73&lt;30, "Không hỗ trợ do thu hồi dưới 30%", IF(N73&lt;=70, "Thu hồi từ 30% đến 70% hỗ trợ 06 tháng", "Thu hồi trên 70% hỗ trợ 12 tháng"))</f>
        <v>Thu hồi từ 30% đến 70% hỗ trợ 06 tháng</v>
      </c>
    </row>
    <row r="71" spans="1:15" s="47" customFormat="1" ht="75" customHeight="1">
      <c r="A71" s="70">
        <v>3</v>
      </c>
      <c r="B71" s="439" t="s">
        <v>159</v>
      </c>
      <c r="C71" s="439"/>
      <c r="D71" s="439"/>
      <c r="E71" s="439"/>
      <c r="F71" s="70" t="s">
        <v>182</v>
      </c>
      <c r="G71" s="141">
        <f>F30-10.3</f>
        <v>602.70000000000005</v>
      </c>
      <c r="H71" s="223">
        <v>3000</v>
      </c>
      <c r="I71" s="67">
        <v>1</v>
      </c>
      <c r="J71" s="140">
        <f>IF(G71*H71*I71&gt;=3000000,3000000,G71*H71*I71)</f>
        <v>1808100.0000000002</v>
      </c>
      <c r="K71" s="65"/>
    </row>
    <row r="72" spans="1:15" ht="35.25" customHeight="1">
      <c r="A72" s="415" t="s">
        <v>136</v>
      </c>
      <c r="B72" s="416"/>
      <c r="C72" s="416"/>
      <c r="D72" s="416"/>
      <c r="E72" s="416"/>
      <c r="F72" s="416"/>
      <c r="G72" s="416"/>
      <c r="H72" s="416"/>
      <c r="I72" s="417"/>
      <c r="J72" s="138">
        <f>SUM(J69:J71)</f>
        <v>483300600</v>
      </c>
      <c r="K72" s="66"/>
    </row>
    <row r="73" spans="1:15" ht="21" customHeight="1">
      <c r="A73" s="438" t="s">
        <v>160</v>
      </c>
      <c r="B73" s="438"/>
      <c r="C73" s="438"/>
      <c r="D73" s="438"/>
      <c r="E73" s="438"/>
      <c r="F73" s="438"/>
      <c r="G73" s="435">
        <f>J38+J66+J72</f>
        <v>576719100</v>
      </c>
      <c r="H73" s="435"/>
      <c r="I73" s="142" t="s">
        <v>161</v>
      </c>
      <c r="K73" s="128"/>
      <c r="N73" s="64">
        <f>ROUND((F30-10.3)/F27%,2)</f>
        <v>40.840000000000003</v>
      </c>
      <c r="O73" s="143">
        <f>H25</f>
        <v>5</v>
      </c>
    </row>
    <row r="74" spans="1:15" ht="32.25" customHeight="1">
      <c r="B74" s="105" t="s">
        <v>178</v>
      </c>
      <c r="C74" s="436" t="str">
        <f>[1]!VND(G73)</f>
        <v>Năm trăm bảy mươi sáu triệu, bảy trăm mười chín nghìn, một trăm đồng chẵn.</v>
      </c>
      <c r="D74" s="436"/>
      <c r="E74" s="436"/>
      <c r="F74" s="436"/>
      <c r="G74" s="436"/>
      <c r="H74" s="436"/>
      <c r="I74" s="436"/>
      <c r="J74" s="436"/>
      <c r="K74" s="436"/>
    </row>
    <row r="75" spans="1:15" s="128" customFormat="1">
      <c r="A75" s="47"/>
      <c r="B75" s="49"/>
      <c r="C75" s="49"/>
      <c r="D75" s="49"/>
      <c r="E75" s="49"/>
      <c r="F75" s="60"/>
      <c r="G75" s="203"/>
      <c r="H75" s="221"/>
      <c r="I75" s="49"/>
      <c r="J75" s="60"/>
      <c r="K75" s="49"/>
    </row>
    <row r="76" spans="1:15" s="128" customFormat="1">
      <c r="A76" s="47"/>
      <c r="B76" s="49"/>
      <c r="C76" s="49"/>
      <c r="D76" s="49"/>
      <c r="E76" s="49"/>
      <c r="F76" s="60"/>
      <c r="G76" s="203"/>
      <c r="H76" s="221"/>
      <c r="I76" s="49"/>
      <c r="J76" s="60"/>
      <c r="K76" s="49"/>
    </row>
  </sheetData>
  <mergeCells count="111">
    <mergeCell ref="A14:K14"/>
    <mergeCell ref="A12:K12"/>
    <mergeCell ref="G73:H73"/>
    <mergeCell ref="A72:I72"/>
    <mergeCell ref="C74:K74"/>
    <mergeCell ref="F36:G36"/>
    <mergeCell ref="A32:K32"/>
    <mergeCell ref="A73:F73"/>
    <mergeCell ref="B69:E69"/>
    <mergeCell ref="A44:C44"/>
    <mergeCell ref="B45:K45"/>
    <mergeCell ref="D46:F46"/>
    <mergeCell ref="D57:F57"/>
    <mergeCell ref="A65:C65"/>
    <mergeCell ref="D65:F65"/>
    <mergeCell ref="A66:I66"/>
    <mergeCell ref="D64:F64"/>
    <mergeCell ref="D52:F52"/>
    <mergeCell ref="D53:F53"/>
    <mergeCell ref="D54:F54"/>
    <mergeCell ref="D58:F58"/>
    <mergeCell ref="B70:E70"/>
    <mergeCell ref="G70:I70"/>
    <mergeCell ref="B71:E71"/>
    <mergeCell ref="A24:K24"/>
    <mergeCell ref="A25:G25"/>
    <mergeCell ref="I25:J25"/>
    <mergeCell ref="A26:F26"/>
    <mergeCell ref="C42:C43"/>
    <mergeCell ref="D42:F42"/>
    <mergeCell ref="G42:G43"/>
    <mergeCell ref="A27:E27"/>
    <mergeCell ref="H26:I26"/>
    <mergeCell ref="H27:K27"/>
    <mergeCell ref="A33:K33"/>
    <mergeCell ref="A34:D34"/>
    <mergeCell ref="B35:C35"/>
    <mergeCell ref="F35:G35"/>
    <mergeCell ref="B36:C36"/>
    <mergeCell ref="A67:C67"/>
    <mergeCell ref="B68:E68"/>
    <mergeCell ref="D47:F47"/>
    <mergeCell ref="D48:F48"/>
    <mergeCell ref="D49:F49"/>
    <mergeCell ref="A8:K8"/>
    <mergeCell ref="A1:D1"/>
    <mergeCell ref="E1:K1"/>
    <mergeCell ref="A2:D2"/>
    <mergeCell ref="E2:K2"/>
    <mergeCell ref="A4:D4"/>
    <mergeCell ref="H4:K4"/>
    <mergeCell ref="A23:G23"/>
    <mergeCell ref="H23:I23"/>
    <mergeCell ref="A5:D5"/>
    <mergeCell ref="B6:K6"/>
    <mergeCell ref="A7:K7"/>
    <mergeCell ref="A10:K10"/>
    <mergeCell ref="A11:K11"/>
    <mergeCell ref="A19:H19"/>
    <mergeCell ref="A20:K20"/>
    <mergeCell ref="A21:K21"/>
    <mergeCell ref="A22:E22"/>
    <mergeCell ref="F22:H22"/>
    <mergeCell ref="A18:K18"/>
    <mergeCell ref="A17:K17"/>
    <mergeCell ref="A16:K16"/>
    <mergeCell ref="A15:K15"/>
    <mergeCell ref="A13:K13"/>
    <mergeCell ref="D63:F63"/>
    <mergeCell ref="A51:A52"/>
    <mergeCell ref="B51:B52"/>
    <mergeCell ref="C51:C52"/>
    <mergeCell ref="A54:A55"/>
    <mergeCell ref="B54:B55"/>
    <mergeCell ref="C54:C55"/>
    <mergeCell ref="D51:F51"/>
    <mergeCell ref="D55:F55"/>
    <mergeCell ref="D56:F56"/>
    <mergeCell ref="C62:C63"/>
    <mergeCell ref="B62:B63"/>
    <mergeCell ref="A62:A63"/>
    <mergeCell ref="A56:A57"/>
    <mergeCell ref="B56:B57"/>
    <mergeCell ref="C56:C57"/>
    <mergeCell ref="A58:A60"/>
    <mergeCell ref="D62:F62"/>
    <mergeCell ref="D59:F59"/>
    <mergeCell ref="B58:B60"/>
    <mergeCell ref="D60:F60"/>
    <mergeCell ref="D61:F61"/>
    <mergeCell ref="B37:C37"/>
    <mergeCell ref="F37:G37"/>
    <mergeCell ref="A28:K28"/>
    <mergeCell ref="A29:E29"/>
    <mergeCell ref="H29:I29"/>
    <mergeCell ref="H30:K30"/>
    <mergeCell ref="A30:E30"/>
    <mergeCell ref="A31:E31"/>
    <mergeCell ref="C58:C60"/>
    <mergeCell ref="I42:I43"/>
    <mergeCell ref="J42:J43"/>
    <mergeCell ref="K42:K43"/>
    <mergeCell ref="A38:D38"/>
    <mergeCell ref="F38:G38"/>
    <mergeCell ref="A39:K39"/>
    <mergeCell ref="A40:K40"/>
    <mergeCell ref="B41:K41"/>
    <mergeCell ref="A42:A43"/>
    <mergeCell ref="B42:B43"/>
    <mergeCell ref="D50:F50"/>
    <mergeCell ref="H42:H43"/>
  </mergeCells>
  <printOptions horizontalCentered="1"/>
  <pageMargins left="0.27559055118110237" right="7.874015748031496E-2" top="0.39370078740157483" bottom="0.15748031496062992" header="0.19685039370078741" footer="0.15748031496062992"/>
  <pageSetup paperSize="9" scale="6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71"/>
  <sheetViews>
    <sheetView view="pageBreakPreview" zoomScale="85" zoomScaleNormal="100" zoomScaleSheetLayoutView="85" workbookViewId="0">
      <selection activeCell="A8" sqref="A8:K8"/>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234" customWidth="1"/>
    <col min="7" max="7" width="9.75" style="203" customWidth="1"/>
    <col min="8" max="8" width="13.375" style="221" bestFit="1" customWidth="1"/>
    <col min="9" max="9" width="9.375" style="49" customWidth="1"/>
    <col min="10" max="10" width="17.625" style="60" customWidth="1"/>
    <col min="11" max="11" width="12.625" style="49" customWidth="1"/>
    <col min="12" max="12" width="8.125" style="49" hidden="1" customWidth="1"/>
    <col min="13" max="13" width="15.375" style="49" hidden="1" customWidth="1"/>
    <col min="14" max="14" width="9.75" style="49" hidden="1" customWidth="1"/>
    <col min="15" max="15" width="0" style="49" hidden="1"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226"/>
      <c r="G3" s="46"/>
      <c r="H3" s="207"/>
      <c r="I3" s="46"/>
      <c r="J3" s="46"/>
      <c r="K3" s="46"/>
    </row>
    <row r="4" spans="1:26" ht="16.5" customHeight="1">
      <c r="A4" s="420" t="s">
        <v>294</v>
      </c>
      <c r="B4" s="420"/>
      <c r="C4" s="420"/>
      <c r="D4" s="420"/>
      <c r="E4" s="107"/>
      <c r="F4" s="227"/>
      <c r="G4" s="198"/>
      <c r="H4" s="421"/>
      <c r="I4" s="421"/>
      <c r="J4" s="421"/>
      <c r="K4" s="421"/>
      <c r="L4" s="109"/>
      <c r="M4" s="109"/>
      <c r="N4" s="109"/>
      <c r="O4" s="109"/>
      <c r="P4" s="109"/>
      <c r="Q4" s="109"/>
      <c r="R4" s="109"/>
      <c r="S4" s="109"/>
      <c r="T4" s="107"/>
      <c r="U4" s="107"/>
      <c r="V4" s="107"/>
      <c r="W4" s="107"/>
      <c r="X4" s="107"/>
      <c r="Y4" s="107"/>
      <c r="Z4" s="110"/>
    </row>
    <row r="5" spans="1:26">
      <c r="A5" s="423"/>
      <c r="B5" s="423"/>
      <c r="C5" s="423"/>
      <c r="D5" s="423"/>
      <c r="E5" s="107"/>
      <c r="F5" s="227"/>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243</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228"/>
      <c r="G9" s="94"/>
      <c r="H9" s="209"/>
      <c r="I9" s="94"/>
      <c r="J9" s="94"/>
      <c r="K9" s="94"/>
    </row>
    <row r="10" spans="1:26">
      <c r="A10" s="424" t="s">
        <v>118</v>
      </c>
      <c r="B10" s="424"/>
      <c r="C10" s="424"/>
      <c r="D10" s="424"/>
      <c r="E10" s="424"/>
      <c r="F10" s="424"/>
      <c r="G10" s="424"/>
      <c r="H10" s="424"/>
      <c r="I10" s="424"/>
      <c r="J10" s="424"/>
      <c r="K10" s="424"/>
    </row>
    <row r="11" spans="1:26" ht="77.25" customHeight="1">
      <c r="A11" s="425" t="s">
        <v>364</v>
      </c>
      <c r="B11" s="411"/>
      <c r="C11" s="411"/>
      <c r="D11" s="411"/>
      <c r="E11" s="411"/>
      <c r="F11" s="411"/>
      <c r="G11" s="411"/>
      <c r="H11" s="411"/>
      <c r="I11" s="411"/>
      <c r="J11" s="411"/>
      <c r="K11" s="411"/>
    </row>
    <row r="12" spans="1:26" ht="96.75" customHeight="1">
      <c r="A12" s="411" t="s">
        <v>363</v>
      </c>
      <c r="B12" s="411"/>
      <c r="C12" s="411"/>
      <c r="D12" s="411"/>
      <c r="E12" s="411"/>
      <c r="F12" s="411"/>
      <c r="G12" s="411"/>
      <c r="H12" s="411"/>
      <c r="I12" s="411"/>
      <c r="J12" s="411"/>
      <c r="K12" s="411"/>
    </row>
    <row r="13" spans="1:26" ht="96.75" customHeight="1">
      <c r="A13" s="411" t="s">
        <v>362</v>
      </c>
      <c r="B13" s="411"/>
      <c r="C13" s="411"/>
      <c r="D13" s="411"/>
      <c r="E13" s="411"/>
      <c r="F13" s="411"/>
      <c r="G13" s="411"/>
      <c r="H13" s="411"/>
      <c r="I13" s="411"/>
      <c r="J13" s="411"/>
      <c r="K13" s="411"/>
    </row>
    <row r="14" spans="1:26" ht="57.75" customHeight="1">
      <c r="A14" s="433" t="s">
        <v>478</v>
      </c>
      <c r="B14" s="434"/>
      <c r="C14" s="434"/>
      <c r="D14" s="434"/>
      <c r="E14" s="434"/>
      <c r="F14" s="434"/>
      <c r="G14" s="434"/>
      <c r="H14" s="434"/>
      <c r="I14" s="434"/>
      <c r="J14" s="434"/>
      <c r="K14" s="434"/>
    </row>
    <row r="15" spans="1:26" ht="60" customHeight="1">
      <c r="A15" s="411" t="s">
        <v>361</v>
      </c>
      <c r="B15" s="411"/>
      <c r="C15" s="411"/>
      <c r="D15" s="411"/>
      <c r="E15" s="411"/>
      <c r="F15" s="411"/>
      <c r="G15" s="411"/>
      <c r="H15" s="411"/>
      <c r="I15" s="411"/>
      <c r="J15" s="411"/>
      <c r="K15" s="411"/>
    </row>
    <row r="16" spans="1:26" ht="39" customHeight="1">
      <c r="A16" s="411" t="s">
        <v>360</v>
      </c>
      <c r="B16" s="411"/>
      <c r="C16" s="411"/>
      <c r="D16" s="411"/>
      <c r="E16" s="411"/>
      <c r="F16" s="411"/>
      <c r="G16" s="411"/>
      <c r="H16" s="411"/>
      <c r="I16" s="411"/>
      <c r="J16" s="411"/>
      <c r="K16" s="411"/>
    </row>
    <row r="17" spans="1:16" ht="39" customHeight="1">
      <c r="A17" s="411" t="s">
        <v>365</v>
      </c>
      <c r="B17" s="411"/>
      <c r="C17" s="411"/>
      <c r="D17" s="411"/>
      <c r="E17" s="411"/>
      <c r="F17" s="411"/>
      <c r="G17" s="411"/>
      <c r="H17" s="411"/>
      <c r="I17" s="411"/>
      <c r="J17" s="411"/>
      <c r="K17" s="411"/>
    </row>
    <row r="18" spans="1:16" ht="95.25" customHeight="1">
      <c r="A18" s="411" t="s">
        <v>378</v>
      </c>
      <c r="B18" s="411"/>
      <c r="C18" s="411"/>
      <c r="D18" s="411"/>
      <c r="E18" s="411"/>
      <c r="F18" s="411"/>
      <c r="G18" s="411"/>
      <c r="H18" s="411"/>
      <c r="I18" s="411"/>
      <c r="J18" s="411"/>
      <c r="K18" s="411"/>
    </row>
    <row r="19" spans="1:16">
      <c r="A19" s="414" t="s">
        <v>205</v>
      </c>
      <c r="B19" s="414"/>
      <c r="C19" s="414"/>
      <c r="D19" s="414"/>
      <c r="E19" s="414"/>
      <c r="F19" s="414"/>
      <c r="G19" s="414"/>
      <c r="H19" s="414"/>
      <c r="I19" s="48"/>
      <c r="J19" s="48"/>
      <c r="K19" s="48"/>
    </row>
    <row r="20" spans="1:16">
      <c r="A20" s="414" t="s">
        <v>300</v>
      </c>
      <c r="B20" s="414"/>
      <c r="C20" s="414"/>
      <c r="D20" s="414"/>
      <c r="E20" s="414"/>
      <c r="F20" s="414"/>
      <c r="G20" s="414"/>
      <c r="H20" s="414"/>
      <c r="I20" s="414"/>
      <c r="J20" s="414"/>
      <c r="K20" s="414"/>
    </row>
    <row r="21" spans="1:16">
      <c r="A21" s="414" t="s">
        <v>301</v>
      </c>
      <c r="B21" s="414"/>
      <c r="C21" s="414"/>
      <c r="D21" s="414"/>
      <c r="E21" s="414"/>
      <c r="F21" s="414"/>
      <c r="G21" s="414"/>
      <c r="H21" s="414"/>
      <c r="I21" s="414"/>
      <c r="J21" s="414"/>
      <c r="K21" s="414"/>
    </row>
    <row r="22" spans="1:16" ht="21" customHeight="1">
      <c r="A22" s="395" t="s">
        <v>329</v>
      </c>
      <c r="B22" s="395"/>
      <c r="C22" s="395"/>
      <c r="D22" s="395"/>
      <c r="E22" s="395"/>
      <c r="F22" s="395" t="s">
        <v>330</v>
      </c>
      <c r="G22" s="395"/>
      <c r="H22" s="395"/>
      <c r="I22" s="50"/>
      <c r="J22" s="50"/>
      <c r="K22" s="50"/>
    </row>
    <row r="23" spans="1:16" ht="20.25" customHeight="1">
      <c r="A23" s="395" t="s">
        <v>302</v>
      </c>
      <c r="B23" s="395"/>
      <c r="C23" s="395"/>
      <c r="D23" s="395"/>
      <c r="E23" s="395"/>
      <c r="F23" s="395"/>
      <c r="G23" s="395"/>
      <c r="H23" s="422" t="s">
        <v>119</v>
      </c>
      <c r="I23" s="422"/>
      <c r="J23" s="112" t="s">
        <v>226</v>
      </c>
      <c r="K23" s="50"/>
    </row>
    <row r="24" spans="1:16" ht="20.25" customHeight="1">
      <c r="A24" s="395" t="s">
        <v>303</v>
      </c>
      <c r="B24" s="395"/>
      <c r="C24" s="395"/>
      <c r="D24" s="395"/>
      <c r="E24" s="395"/>
      <c r="F24" s="395"/>
      <c r="G24" s="395"/>
      <c r="H24" s="395"/>
      <c r="I24" s="395"/>
      <c r="J24" s="395"/>
      <c r="K24" s="395"/>
    </row>
    <row r="25" spans="1:16" ht="20.25" customHeight="1">
      <c r="A25" s="395" t="s">
        <v>120</v>
      </c>
      <c r="B25" s="395"/>
      <c r="C25" s="395"/>
      <c r="D25" s="395"/>
      <c r="E25" s="395"/>
      <c r="F25" s="395"/>
      <c r="G25" s="395"/>
      <c r="H25" s="210">
        <v>5</v>
      </c>
      <c r="I25" s="395" t="s">
        <v>121</v>
      </c>
      <c r="J25" s="395"/>
      <c r="K25" s="50"/>
      <c r="L25" s="48"/>
      <c r="M25" s="48"/>
      <c r="O25" s="48"/>
      <c r="P25" s="48"/>
    </row>
    <row r="26" spans="1:16">
      <c r="A26" s="414" t="s">
        <v>122</v>
      </c>
      <c r="B26" s="414"/>
      <c r="C26" s="414"/>
      <c r="D26" s="414"/>
      <c r="E26" s="414"/>
      <c r="F26" s="414"/>
      <c r="G26" s="199"/>
      <c r="H26" s="211"/>
      <c r="I26" s="51"/>
      <c r="J26" s="51"/>
      <c r="K26" s="51"/>
    </row>
    <row r="27" spans="1:16" ht="38.25" customHeight="1">
      <c r="A27" s="394" t="s">
        <v>355</v>
      </c>
      <c r="B27" s="394"/>
      <c r="C27" s="394"/>
      <c r="D27" s="394"/>
      <c r="E27" s="394"/>
      <c r="F27" s="394"/>
      <c r="G27" s="394"/>
      <c r="H27" s="394"/>
      <c r="I27" s="394"/>
      <c r="J27" s="394"/>
      <c r="K27" s="394"/>
    </row>
    <row r="28" spans="1:16" s="115" customFormat="1" ht="42" customHeight="1">
      <c r="A28" s="426" t="s">
        <v>123</v>
      </c>
      <c r="B28" s="426"/>
      <c r="C28" s="426"/>
      <c r="D28" s="426"/>
      <c r="E28" s="426"/>
      <c r="F28" s="229">
        <v>2359</v>
      </c>
      <c r="G28" s="200" t="s">
        <v>179</v>
      </c>
      <c r="H28" s="212"/>
      <c r="I28" s="114"/>
      <c r="J28" s="114"/>
      <c r="K28" s="114"/>
    </row>
    <row r="29" spans="1:16" ht="22.5">
      <c r="A29" s="395" t="s">
        <v>124</v>
      </c>
      <c r="B29" s="395"/>
      <c r="C29" s="395"/>
      <c r="D29" s="395"/>
      <c r="E29" s="395"/>
      <c r="F29" s="242">
        <v>1041</v>
      </c>
      <c r="G29" s="190" t="s">
        <v>180</v>
      </c>
      <c r="H29" s="396" t="s">
        <v>125</v>
      </c>
      <c r="I29" s="396"/>
      <c r="J29" s="50"/>
      <c r="K29" s="50"/>
    </row>
    <row r="30" spans="1:16" s="120" customFormat="1" ht="40.5" customHeight="1">
      <c r="A30" s="117"/>
      <c r="B30" s="399" t="s">
        <v>126</v>
      </c>
      <c r="C30" s="399"/>
      <c r="D30" s="399"/>
      <c r="E30" s="118"/>
      <c r="F30" s="243">
        <v>198.9</v>
      </c>
      <c r="G30" s="190" t="s">
        <v>181</v>
      </c>
      <c r="H30" s="397" t="str">
        <f>"(Chiếm "&amp;N68&amp;"% Tổng diện tích đất nông nghiệp được giao đang sử dụng)"</f>
        <v>(Chiếm 8,43% Tổng diện tích đất nông nghiệp được giao đang sử dụng)</v>
      </c>
      <c r="I30" s="397"/>
      <c r="J30" s="397"/>
      <c r="K30" s="397"/>
    </row>
    <row r="31" spans="1:16" s="120" customFormat="1" ht="22.5">
      <c r="A31" s="117"/>
      <c r="B31" s="399" t="s">
        <v>127</v>
      </c>
      <c r="C31" s="399"/>
      <c r="D31" s="399"/>
      <c r="E31" s="121"/>
      <c r="F31" s="243">
        <f>F29-F30</f>
        <v>842.1</v>
      </c>
      <c r="G31" s="190" t="s">
        <v>181</v>
      </c>
      <c r="H31" s="213"/>
      <c r="I31" s="122"/>
      <c r="J31" s="122"/>
      <c r="K31" s="122"/>
    </row>
    <row r="32" spans="1:16" ht="154.5" customHeight="1">
      <c r="A32" s="437" t="s">
        <v>487</v>
      </c>
      <c r="B32" s="437"/>
      <c r="C32" s="437"/>
      <c r="D32" s="437"/>
      <c r="E32" s="437"/>
      <c r="F32" s="437"/>
      <c r="G32" s="437"/>
      <c r="H32" s="437"/>
      <c r="I32" s="437"/>
      <c r="J32" s="437"/>
      <c r="K32" s="437"/>
    </row>
    <row r="33" spans="1:11" ht="45" customHeight="1">
      <c r="A33" s="437" t="s">
        <v>488</v>
      </c>
      <c r="B33" s="437"/>
      <c r="C33" s="437"/>
      <c r="D33" s="437"/>
      <c r="E33" s="437"/>
      <c r="F33" s="437"/>
      <c r="G33" s="437"/>
      <c r="H33" s="437"/>
      <c r="I33" s="437"/>
      <c r="J33" s="437"/>
      <c r="K33" s="437"/>
    </row>
    <row r="34" spans="1:11" ht="24" customHeight="1">
      <c r="A34" s="414" t="s">
        <v>206</v>
      </c>
      <c r="B34" s="414"/>
      <c r="C34" s="414"/>
      <c r="D34" s="414"/>
      <c r="E34" s="414"/>
      <c r="F34" s="414"/>
      <c r="G34" s="414"/>
      <c r="H34" s="414"/>
      <c r="I34" s="414"/>
      <c r="J34" s="414"/>
      <c r="K34" s="414"/>
    </row>
    <row r="35" spans="1:11" s="48" customFormat="1">
      <c r="A35" s="427" t="s">
        <v>128</v>
      </c>
      <c r="B35" s="427"/>
      <c r="C35" s="427"/>
      <c r="D35" s="427"/>
      <c r="E35" s="52"/>
      <c r="F35" s="230"/>
      <c r="G35" s="201"/>
      <c r="H35" s="214"/>
      <c r="I35" s="52"/>
      <c r="J35" s="53"/>
      <c r="K35" s="52"/>
    </row>
    <row r="36" spans="1:11" s="47" customFormat="1" ht="75.75" customHeight="1">
      <c r="A36" s="95" t="s">
        <v>129</v>
      </c>
      <c r="B36" s="403" t="s">
        <v>12</v>
      </c>
      <c r="C36" s="428"/>
      <c r="D36" s="95" t="s">
        <v>130</v>
      </c>
      <c r="E36" s="95" t="s">
        <v>131</v>
      </c>
      <c r="F36" s="429" t="s">
        <v>477</v>
      </c>
      <c r="G36" s="430"/>
      <c r="H36" s="215" t="s">
        <v>132</v>
      </c>
      <c r="I36" s="95" t="s">
        <v>133</v>
      </c>
      <c r="J36" s="96" t="s">
        <v>134</v>
      </c>
      <c r="K36" s="95" t="s">
        <v>6</v>
      </c>
    </row>
    <row r="37" spans="1:11" s="52" customFormat="1" ht="33" customHeight="1">
      <c r="A37" s="70">
        <v>1</v>
      </c>
      <c r="B37" s="431" t="s">
        <v>352</v>
      </c>
      <c r="C37" s="432"/>
      <c r="D37" s="65" t="s">
        <v>182</v>
      </c>
      <c r="E37" s="123">
        <f>F30</f>
        <v>198.9</v>
      </c>
      <c r="F37" s="392">
        <v>155000</v>
      </c>
      <c r="G37" s="393"/>
      <c r="H37" s="216"/>
      <c r="I37" s="67">
        <v>1</v>
      </c>
      <c r="J37" s="71">
        <f>E37*F37*I37</f>
        <v>30829500</v>
      </c>
      <c r="K37" s="70"/>
    </row>
    <row r="38" spans="1:11" s="128" customFormat="1" ht="36" customHeight="1">
      <c r="A38" s="405" t="s">
        <v>136</v>
      </c>
      <c r="B38" s="405"/>
      <c r="C38" s="405"/>
      <c r="D38" s="405"/>
      <c r="E38" s="124">
        <f>SUM(E37:E37)</f>
        <v>198.9</v>
      </c>
      <c r="F38" s="405"/>
      <c r="G38" s="405"/>
      <c r="H38" s="217"/>
      <c r="I38" s="125"/>
      <c r="J38" s="126">
        <f>SUM(J37:J37)</f>
        <v>30829500</v>
      </c>
      <c r="K38" s="127"/>
    </row>
    <row r="39" spans="1:11" s="47" customFormat="1">
      <c r="A39" s="448"/>
      <c r="B39" s="448"/>
      <c r="C39" s="448"/>
      <c r="D39" s="448"/>
      <c r="E39" s="448"/>
      <c r="F39" s="448"/>
      <c r="G39" s="448"/>
      <c r="H39" s="448"/>
      <c r="I39" s="448"/>
      <c r="J39" s="448"/>
      <c r="K39" s="448"/>
    </row>
    <row r="40" spans="1:11" s="129" customFormat="1" ht="39.75" customHeight="1">
      <c r="A40" s="407" t="s">
        <v>137</v>
      </c>
      <c r="B40" s="407"/>
      <c r="C40" s="407"/>
      <c r="D40" s="407"/>
      <c r="E40" s="407"/>
      <c r="F40" s="407"/>
      <c r="G40" s="407"/>
      <c r="H40" s="407"/>
      <c r="I40" s="407"/>
      <c r="J40" s="407"/>
      <c r="K40" s="407"/>
    </row>
    <row r="41" spans="1:11" s="130" customFormat="1" ht="62.25" customHeight="1">
      <c r="A41" s="95" t="s">
        <v>138</v>
      </c>
      <c r="B41" s="408" t="s">
        <v>139</v>
      </c>
      <c r="C41" s="409"/>
      <c r="D41" s="409"/>
      <c r="E41" s="409"/>
      <c r="F41" s="409"/>
      <c r="G41" s="409"/>
      <c r="H41" s="409"/>
      <c r="I41" s="409"/>
      <c r="J41" s="409"/>
      <c r="K41" s="410"/>
    </row>
    <row r="42" spans="1:11" ht="23.25" customHeight="1">
      <c r="A42" s="403" t="s">
        <v>129</v>
      </c>
      <c r="B42" s="403" t="s">
        <v>140</v>
      </c>
      <c r="C42" s="403" t="s">
        <v>141</v>
      </c>
      <c r="D42" s="403" t="s">
        <v>142</v>
      </c>
      <c r="E42" s="403"/>
      <c r="F42" s="403"/>
      <c r="G42" s="403" t="s">
        <v>143</v>
      </c>
      <c r="H42" s="330" t="s">
        <v>144</v>
      </c>
      <c r="I42" s="403" t="s">
        <v>133</v>
      </c>
      <c r="J42" s="404" t="s">
        <v>134</v>
      </c>
      <c r="K42" s="403" t="s">
        <v>6</v>
      </c>
    </row>
    <row r="43" spans="1:11" ht="36" customHeight="1">
      <c r="A43" s="403"/>
      <c r="B43" s="403"/>
      <c r="C43" s="403"/>
      <c r="D43" s="54" t="s">
        <v>145</v>
      </c>
      <c r="E43" s="54" t="s">
        <v>146</v>
      </c>
      <c r="F43" s="231" t="s">
        <v>165</v>
      </c>
      <c r="G43" s="403"/>
      <c r="H43" s="330"/>
      <c r="I43" s="403"/>
      <c r="J43" s="404"/>
      <c r="K43" s="403"/>
    </row>
    <row r="44" spans="1:11" ht="39" customHeight="1">
      <c r="A44" s="70">
        <v>1</v>
      </c>
      <c r="B44" s="225" t="s">
        <v>278</v>
      </c>
      <c r="C44" s="70" t="s">
        <v>182</v>
      </c>
      <c r="D44" s="68"/>
      <c r="E44" s="68">
        <v>6.45</v>
      </c>
      <c r="F44" s="232">
        <v>1.2</v>
      </c>
      <c r="G44" s="70">
        <f>ROUND(E44*F44,2)</f>
        <v>7.74</v>
      </c>
      <c r="H44" s="223">
        <v>707600</v>
      </c>
      <c r="I44" s="238">
        <v>0</v>
      </c>
      <c r="J44" s="252">
        <f>ROUND(G44*H44*I44,2)</f>
        <v>0</v>
      </c>
      <c r="K44" s="70"/>
    </row>
    <row r="45" spans="1:11" ht="36" customHeight="1">
      <c r="A45" s="400">
        <v>2</v>
      </c>
      <c r="B45" s="445" t="s">
        <v>279</v>
      </c>
      <c r="C45" s="400" t="s">
        <v>182</v>
      </c>
      <c r="D45" s="68"/>
      <c r="E45" s="68">
        <v>6.45</v>
      </c>
      <c r="F45" s="232">
        <v>1.2</v>
      </c>
      <c r="G45" s="70">
        <f t="shared" ref="G45:G48" si="0">ROUND(E45*F45,2)</f>
        <v>7.74</v>
      </c>
      <c r="H45" s="223">
        <v>272700</v>
      </c>
      <c r="I45" s="238">
        <v>0</v>
      </c>
      <c r="J45" s="252">
        <f t="shared" ref="J45:J48" si="1">ROUND(G45*H45*I45,2)</f>
        <v>0</v>
      </c>
      <c r="K45" s="70"/>
    </row>
    <row r="46" spans="1:11" ht="36" customHeight="1">
      <c r="A46" s="401"/>
      <c r="B46" s="446"/>
      <c r="C46" s="401"/>
      <c r="D46" s="68"/>
      <c r="E46" s="68">
        <v>6.75</v>
      </c>
      <c r="F46" s="232">
        <v>1.2</v>
      </c>
      <c r="G46" s="70">
        <f t="shared" si="0"/>
        <v>8.1</v>
      </c>
      <c r="H46" s="223">
        <v>272700</v>
      </c>
      <c r="I46" s="238">
        <v>0</v>
      </c>
      <c r="J46" s="252">
        <f t="shared" si="1"/>
        <v>0</v>
      </c>
      <c r="K46" s="70"/>
    </row>
    <row r="47" spans="1:11" ht="36" customHeight="1">
      <c r="A47" s="402"/>
      <c r="B47" s="447"/>
      <c r="C47" s="402"/>
      <c r="D47" s="68"/>
      <c r="E47" s="237">
        <v>25</v>
      </c>
      <c r="F47" s="232">
        <v>1.8</v>
      </c>
      <c r="G47" s="70">
        <f t="shared" si="0"/>
        <v>45</v>
      </c>
      <c r="H47" s="223">
        <v>272700</v>
      </c>
      <c r="I47" s="238">
        <v>0</v>
      </c>
      <c r="J47" s="252">
        <f t="shared" si="1"/>
        <v>0</v>
      </c>
      <c r="K47" s="70"/>
    </row>
    <row r="48" spans="1:11" ht="57" customHeight="1">
      <c r="A48" s="70">
        <v>3</v>
      </c>
      <c r="B48" s="224" t="s">
        <v>280</v>
      </c>
      <c r="C48" s="70" t="s">
        <v>182</v>
      </c>
      <c r="D48" s="68"/>
      <c r="E48" s="68">
        <v>6.75</v>
      </c>
      <c r="F48" s="232">
        <v>1.4</v>
      </c>
      <c r="G48" s="70">
        <f t="shared" si="0"/>
        <v>9.4499999999999993</v>
      </c>
      <c r="H48" s="223">
        <v>548400</v>
      </c>
      <c r="I48" s="238">
        <v>0</v>
      </c>
      <c r="J48" s="252">
        <f t="shared" si="1"/>
        <v>0</v>
      </c>
      <c r="K48" s="70"/>
    </row>
    <row r="49" spans="1:11" s="69" customFormat="1" ht="19.5">
      <c r="A49" s="440" t="s">
        <v>147</v>
      </c>
      <c r="B49" s="440"/>
      <c r="C49" s="440"/>
      <c r="D49" s="131"/>
      <c r="E49" s="132"/>
      <c r="F49" s="233"/>
      <c r="G49" s="202"/>
      <c r="H49" s="218"/>
      <c r="I49" s="58"/>
      <c r="J49" s="134">
        <f>SUM(J44:J48)</f>
        <v>0</v>
      </c>
      <c r="K49" s="135"/>
    </row>
    <row r="50" spans="1:11" s="69" customFormat="1" ht="44.25" customHeight="1">
      <c r="A50" s="95" t="s">
        <v>148</v>
      </c>
      <c r="B50" s="408" t="s">
        <v>351</v>
      </c>
      <c r="C50" s="409"/>
      <c r="D50" s="409"/>
      <c r="E50" s="409"/>
      <c r="F50" s="409"/>
      <c r="G50" s="409"/>
      <c r="H50" s="409"/>
      <c r="I50" s="409"/>
      <c r="J50" s="409"/>
      <c r="K50" s="410"/>
    </row>
    <row r="51" spans="1:11" s="69" customFormat="1" ht="61.5" customHeight="1">
      <c r="A51" s="56" t="s">
        <v>129</v>
      </c>
      <c r="B51" s="56" t="s">
        <v>149</v>
      </c>
      <c r="C51" s="56" t="s">
        <v>141</v>
      </c>
      <c r="D51" s="415" t="s">
        <v>150</v>
      </c>
      <c r="E51" s="416"/>
      <c r="F51" s="417"/>
      <c r="G51" s="57" t="s">
        <v>151</v>
      </c>
      <c r="H51" s="219" t="s">
        <v>144</v>
      </c>
      <c r="I51" s="58" t="s">
        <v>133</v>
      </c>
      <c r="J51" s="59" t="s">
        <v>134</v>
      </c>
      <c r="K51" s="56" t="s">
        <v>6</v>
      </c>
    </row>
    <row r="52" spans="1:11" s="195" customFormat="1" ht="33.75" customHeight="1">
      <c r="A52" s="400">
        <v>1</v>
      </c>
      <c r="B52" s="412" t="s">
        <v>256</v>
      </c>
      <c r="C52" s="400" t="s">
        <v>255</v>
      </c>
      <c r="D52" s="387" t="s">
        <v>291</v>
      </c>
      <c r="E52" s="388"/>
      <c r="F52" s="389"/>
      <c r="G52" s="194">
        <v>4</v>
      </c>
      <c r="H52" s="220">
        <v>997500</v>
      </c>
      <c r="I52" s="67">
        <v>0</v>
      </c>
      <c r="J52" s="136">
        <f t="shared" ref="J52:J59" si="2">ROUND(G52*H52*I52,2)</f>
        <v>0</v>
      </c>
      <c r="K52" s="194"/>
    </row>
    <row r="53" spans="1:11" s="195" customFormat="1" ht="37.5" customHeight="1">
      <c r="A53" s="401"/>
      <c r="B53" s="444"/>
      <c r="C53" s="401"/>
      <c r="D53" s="387" t="s">
        <v>333</v>
      </c>
      <c r="E53" s="388"/>
      <c r="F53" s="389"/>
      <c r="G53" s="194">
        <v>4</v>
      </c>
      <c r="H53" s="220">
        <v>1102500</v>
      </c>
      <c r="I53" s="67">
        <v>0</v>
      </c>
      <c r="J53" s="136">
        <f t="shared" si="2"/>
        <v>0</v>
      </c>
      <c r="K53" s="194"/>
    </row>
    <row r="54" spans="1:11" s="195" customFormat="1" ht="39" customHeight="1">
      <c r="A54" s="402"/>
      <c r="B54" s="413"/>
      <c r="C54" s="402"/>
      <c r="D54" s="387" t="s">
        <v>334</v>
      </c>
      <c r="E54" s="388"/>
      <c r="F54" s="389"/>
      <c r="G54" s="194">
        <v>1</v>
      </c>
      <c r="H54" s="220">
        <v>1260000</v>
      </c>
      <c r="I54" s="67">
        <v>0</v>
      </c>
      <c r="J54" s="136">
        <f t="shared" si="2"/>
        <v>0</v>
      </c>
      <c r="K54" s="194"/>
    </row>
    <row r="55" spans="1:11" s="195" customFormat="1" ht="36.75" customHeight="1">
      <c r="A55" s="400">
        <v>2</v>
      </c>
      <c r="B55" s="412" t="s">
        <v>272</v>
      </c>
      <c r="C55" s="400" t="s">
        <v>255</v>
      </c>
      <c r="D55" s="387" t="s">
        <v>276</v>
      </c>
      <c r="E55" s="388"/>
      <c r="F55" s="389"/>
      <c r="G55" s="194">
        <v>2</v>
      </c>
      <c r="H55" s="220">
        <v>252000</v>
      </c>
      <c r="I55" s="67">
        <v>0</v>
      </c>
      <c r="J55" s="136">
        <f t="shared" si="2"/>
        <v>0</v>
      </c>
      <c r="K55" s="194"/>
    </row>
    <row r="56" spans="1:11" s="195" customFormat="1" ht="36.75" customHeight="1">
      <c r="A56" s="402"/>
      <c r="B56" s="413"/>
      <c r="C56" s="402"/>
      <c r="D56" s="387" t="s">
        <v>335</v>
      </c>
      <c r="E56" s="388"/>
      <c r="F56" s="389"/>
      <c r="G56" s="194">
        <v>1</v>
      </c>
      <c r="H56" s="220">
        <v>630000</v>
      </c>
      <c r="I56" s="67">
        <v>0</v>
      </c>
      <c r="J56" s="136">
        <f t="shared" si="2"/>
        <v>0</v>
      </c>
      <c r="K56" s="194"/>
    </row>
    <row r="57" spans="1:11" s="195" customFormat="1" ht="31.5" customHeight="1">
      <c r="A57" s="194">
        <v>3</v>
      </c>
      <c r="B57" s="244" t="s">
        <v>331</v>
      </c>
      <c r="C57" s="194" t="s">
        <v>255</v>
      </c>
      <c r="D57" s="387" t="s">
        <v>336</v>
      </c>
      <c r="E57" s="388"/>
      <c r="F57" s="389"/>
      <c r="G57" s="194">
        <v>1</v>
      </c>
      <c r="H57" s="220">
        <v>147000</v>
      </c>
      <c r="I57" s="67">
        <v>0</v>
      </c>
      <c r="J57" s="136">
        <f t="shared" si="2"/>
        <v>0</v>
      </c>
      <c r="K57" s="194"/>
    </row>
    <row r="58" spans="1:11" s="196" customFormat="1" ht="38.25" customHeight="1">
      <c r="A58" s="205">
        <v>4</v>
      </c>
      <c r="B58" s="245" t="s">
        <v>332</v>
      </c>
      <c r="C58" s="194" t="s">
        <v>255</v>
      </c>
      <c r="D58" s="387" t="s">
        <v>337</v>
      </c>
      <c r="E58" s="388"/>
      <c r="F58" s="389"/>
      <c r="G58" s="194">
        <v>4</v>
      </c>
      <c r="H58" s="220">
        <v>105000</v>
      </c>
      <c r="I58" s="67">
        <v>0</v>
      </c>
      <c r="J58" s="136">
        <f t="shared" si="2"/>
        <v>0</v>
      </c>
      <c r="K58" s="70"/>
    </row>
    <row r="59" spans="1:11" s="196" customFormat="1" ht="28.5" customHeight="1">
      <c r="A59" s="205">
        <v>5</v>
      </c>
      <c r="B59" s="224" t="s">
        <v>257</v>
      </c>
      <c r="C59" s="205" t="s">
        <v>255</v>
      </c>
      <c r="D59" s="387" t="s">
        <v>264</v>
      </c>
      <c r="E59" s="388"/>
      <c r="F59" s="389"/>
      <c r="G59" s="194">
        <v>2</v>
      </c>
      <c r="H59" s="220">
        <v>63000</v>
      </c>
      <c r="I59" s="67">
        <v>0</v>
      </c>
      <c r="J59" s="136">
        <f t="shared" si="2"/>
        <v>0</v>
      </c>
      <c r="K59" s="70"/>
    </row>
    <row r="60" spans="1:11" s="47" customFormat="1">
      <c r="A60" s="403" t="s">
        <v>147</v>
      </c>
      <c r="B60" s="403"/>
      <c r="C60" s="403"/>
      <c r="D60" s="403"/>
      <c r="E60" s="403"/>
      <c r="F60" s="403"/>
      <c r="G60" s="95"/>
      <c r="H60" s="217"/>
      <c r="I60" s="137"/>
      <c r="J60" s="138">
        <f>SUM(J52:J59)</f>
        <v>0</v>
      </c>
      <c r="K60" s="70"/>
    </row>
    <row r="61" spans="1:11" s="47" customFormat="1">
      <c r="A61" s="403" t="s">
        <v>152</v>
      </c>
      <c r="B61" s="403"/>
      <c r="C61" s="403"/>
      <c r="D61" s="403"/>
      <c r="E61" s="403"/>
      <c r="F61" s="403"/>
      <c r="G61" s="403"/>
      <c r="H61" s="403"/>
      <c r="I61" s="403"/>
      <c r="J61" s="138">
        <f>J60+J49</f>
        <v>0</v>
      </c>
      <c r="K61" s="70"/>
    </row>
    <row r="62" spans="1:11" ht="24.95" customHeight="1">
      <c r="A62" s="414" t="s">
        <v>153</v>
      </c>
      <c r="B62" s="414"/>
      <c r="C62" s="414"/>
    </row>
    <row r="63" spans="1:11" ht="36" customHeight="1">
      <c r="A63" s="95" t="s">
        <v>129</v>
      </c>
      <c r="B63" s="415" t="s">
        <v>154</v>
      </c>
      <c r="C63" s="416"/>
      <c r="D63" s="416"/>
      <c r="E63" s="417"/>
      <c r="F63" s="235" t="s">
        <v>130</v>
      </c>
      <c r="G63" s="95" t="s">
        <v>151</v>
      </c>
      <c r="H63" s="222" t="s">
        <v>144</v>
      </c>
      <c r="I63" s="61" t="s">
        <v>155</v>
      </c>
      <c r="J63" s="96" t="s">
        <v>134</v>
      </c>
      <c r="K63" s="95" t="s">
        <v>6</v>
      </c>
    </row>
    <row r="64" spans="1:11" ht="99.75" customHeight="1">
      <c r="A64" s="70">
        <v>1</v>
      </c>
      <c r="B64" s="439" t="s">
        <v>156</v>
      </c>
      <c r="C64" s="439"/>
      <c r="D64" s="439"/>
      <c r="E64" s="439"/>
      <c r="F64" s="236" t="s">
        <v>182</v>
      </c>
      <c r="G64" s="139">
        <f>F30</f>
        <v>198.9</v>
      </c>
      <c r="H64" s="223">
        <f>155000*5</f>
        <v>775000</v>
      </c>
      <c r="I64" s="67">
        <v>1</v>
      </c>
      <c r="J64" s="136">
        <f t="shared" ref="J64" si="3">ROUND(G64*H64*I64,2)</f>
        <v>154147500</v>
      </c>
      <c r="K64" s="62" t="s">
        <v>157</v>
      </c>
    </row>
    <row r="65" spans="1:15" ht="111" customHeight="1">
      <c r="A65" s="70">
        <v>2</v>
      </c>
      <c r="B65" s="439" t="s">
        <v>369</v>
      </c>
      <c r="C65" s="439"/>
      <c r="D65" s="439"/>
      <c r="E65" s="439"/>
      <c r="F65" s="236" t="s">
        <v>158</v>
      </c>
      <c r="G65" s="441" t="s">
        <v>379</v>
      </c>
      <c r="H65" s="442"/>
      <c r="I65" s="443"/>
      <c r="J65" s="140">
        <f>H25*30*16000</f>
        <v>2400000</v>
      </c>
      <c r="K65" s="276" t="s">
        <v>370</v>
      </c>
    </row>
    <row r="66" spans="1:15" s="47" customFormat="1" ht="83.25" customHeight="1">
      <c r="A66" s="70">
        <v>3</v>
      </c>
      <c r="B66" s="439" t="s">
        <v>159</v>
      </c>
      <c r="C66" s="439"/>
      <c r="D66" s="439"/>
      <c r="E66" s="439"/>
      <c r="F66" s="236" t="s">
        <v>182</v>
      </c>
      <c r="G66" s="141">
        <f>F30</f>
        <v>198.9</v>
      </c>
      <c r="H66" s="223">
        <v>3000</v>
      </c>
      <c r="I66" s="67">
        <v>1</v>
      </c>
      <c r="J66" s="140">
        <f>IF(G66*H66*I66&gt;=3000000,3000000,G66*H66*I66)</f>
        <v>596700</v>
      </c>
      <c r="K66" s="65"/>
    </row>
    <row r="67" spans="1:15" ht="36.75" customHeight="1">
      <c r="A67" s="403" t="s">
        <v>136</v>
      </c>
      <c r="B67" s="403"/>
      <c r="C67" s="403"/>
      <c r="D67" s="403"/>
      <c r="E67" s="403"/>
      <c r="F67" s="403"/>
      <c r="G67" s="403"/>
      <c r="H67" s="403"/>
      <c r="I67" s="403"/>
      <c r="J67" s="138">
        <f>SUM(J64:J66)</f>
        <v>157144200</v>
      </c>
      <c r="K67" s="66"/>
    </row>
    <row r="68" spans="1:15">
      <c r="A68" s="438" t="s">
        <v>160</v>
      </c>
      <c r="B68" s="438"/>
      <c r="C68" s="438"/>
      <c r="D68" s="438"/>
      <c r="E68" s="438"/>
      <c r="F68" s="438"/>
      <c r="G68" s="435">
        <f>J38+J61+J67</f>
        <v>187973700</v>
      </c>
      <c r="H68" s="435"/>
      <c r="I68" s="142" t="s">
        <v>161</v>
      </c>
      <c r="K68" s="128"/>
      <c r="N68" s="64">
        <f>ROUND(F30/F28%,2)</f>
        <v>8.43</v>
      </c>
      <c r="O68" s="143">
        <f>H25</f>
        <v>5</v>
      </c>
    </row>
    <row r="69" spans="1:15" ht="32.25" customHeight="1">
      <c r="B69" s="105" t="s">
        <v>178</v>
      </c>
      <c r="C69" s="436" t="str">
        <f>[1]!VND(G68)</f>
        <v>Một trăm tám mươi bảy triệu, chín trăm bảy mươi ba nghìn, bảy trăm đồng chẵn.</v>
      </c>
      <c r="D69" s="436"/>
      <c r="E69" s="436"/>
      <c r="F69" s="436"/>
      <c r="G69" s="436"/>
      <c r="H69" s="436"/>
      <c r="I69" s="436"/>
      <c r="J69" s="436"/>
      <c r="K69" s="436"/>
    </row>
    <row r="70" spans="1:15" s="128" customFormat="1">
      <c r="A70" s="47"/>
      <c r="B70" s="49"/>
      <c r="C70" s="49"/>
      <c r="D70" s="49"/>
      <c r="E70" s="49"/>
      <c r="F70" s="234"/>
      <c r="G70" s="203"/>
      <c r="H70" s="221"/>
      <c r="I70" s="49"/>
      <c r="J70" s="60"/>
      <c r="K70" s="49"/>
    </row>
    <row r="71" spans="1:15" s="128" customFormat="1">
      <c r="A71" s="47"/>
      <c r="B71" s="49"/>
      <c r="C71" s="49"/>
      <c r="D71" s="49"/>
      <c r="E71" s="49"/>
      <c r="F71" s="234"/>
      <c r="G71" s="203"/>
      <c r="H71" s="221"/>
      <c r="I71" s="49"/>
      <c r="J71" s="60"/>
      <c r="K71" s="49"/>
    </row>
  </sheetData>
  <mergeCells count="92">
    <mergeCell ref="H30:K30"/>
    <mergeCell ref="A20:K20"/>
    <mergeCell ref="A21:K21"/>
    <mergeCell ref="B6:K6"/>
    <mergeCell ref="A7:K7"/>
    <mergeCell ref="A8:K8"/>
    <mergeCell ref="A10:K10"/>
    <mergeCell ref="B30:D30"/>
    <mergeCell ref="A27:K27"/>
    <mergeCell ref="A28:E28"/>
    <mergeCell ref="A11:K11"/>
    <mergeCell ref="A12:K12"/>
    <mergeCell ref="A13:K13"/>
    <mergeCell ref="A15:K15"/>
    <mergeCell ref="A16:K16"/>
    <mergeCell ref="A14:K14"/>
    <mergeCell ref="A17:K17"/>
    <mergeCell ref="A29:E29"/>
    <mergeCell ref="H29:I29"/>
    <mergeCell ref="A26:F26"/>
    <mergeCell ref="A22:E22"/>
    <mergeCell ref="A23:G23"/>
    <mergeCell ref="H23:I23"/>
    <mergeCell ref="A24:K24"/>
    <mergeCell ref="A25:G25"/>
    <mergeCell ref="I25:J25"/>
    <mergeCell ref="F22:H22"/>
    <mergeCell ref="A1:D1"/>
    <mergeCell ref="E1:K1"/>
    <mergeCell ref="A2:D2"/>
    <mergeCell ref="E2:K2"/>
    <mergeCell ref="A4:D4"/>
    <mergeCell ref="H4:K4"/>
    <mergeCell ref="A5:D5"/>
    <mergeCell ref="A40:K40"/>
    <mergeCell ref="B31:D31"/>
    <mergeCell ref="A33:K33"/>
    <mergeCell ref="A34:K34"/>
    <mergeCell ref="A35:D35"/>
    <mergeCell ref="B36:C36"/>
    <mergeCell ref="F36:G36"/>
    <mergeCell ref="A38:D38"/>
    <mergeCell ref="F38:G38"/>
    <mergeCell ref="A39:K39"/>
    <mergeCell ref="B37:C37"/>
    <mergeCell ref="F37:G37"/>
    <mergeCell ref="A32:K32"/>
    <mergeCell ref="A18:K18"/>
    <mergeCell ref="A19:H19"/>
    <mergeCell ref="A49:C49"/>
    <mergeCell ref="B50:K50"/>
    <mergeCell ref="D51:F51"/>
    <mergeCell ref="B41:K41"/>
    <mergeCell ref="A42:A43"/>
    <mergeCell ref="B42:B43"/>
    <mergeCell ref="C42:C43"/>
    <mergeCell ref="D42:F42"/>
    <mergeCell ref="G42:G43"/>
    <mergeCell ref="H42:H43"/>
    <mergeCell ref="I42:I43"/>
    <mergeCell ref="J42:J43"/>
    <mergeCell ref="K42:K43"/>
    <mergeCell ref="A45:A47"/>
    <mergeCell ref="B45:B47"/>
    <mergeCell ref="C45:C47"/>
    <mergeCell ref="A55:A56"/>
    <mergeCell ref="B55:B56"/>
    <mergeCell ref="C55:C56"/>
    <mergeCell ref="D55:F55"/>
    <mergeCell ref="D56:F56"/>
    <mergeCell ref="D52:F52"/>
    <mergeCell ref="D53:F53"/>
    <mergeCell ref="A52:A54"/>
    <mergeCell ref="B52:B54"/>
    <mergeCell ref="C52:C54"/>
    <mergeCell ref="D54:F54"/>
    <mergeCell ref="D59:F59"/>
    <mergeCell ref="D57:F57"/>
    <mergeCell ref="D58:F58"/>
    <mergeCell ref="C69:K69"/>
    <mergeCell ref="B64:E64"/>
    <mergeCell ref="B65:E65"/>
    <mergeCell ref="B66:E66"/>
    <mergeCell ref="A67:I67"/>
    <mergeCell ref="A68:F68"/>
    <mergeCell ref="G68:H68"/>
    <mergeCell ref="A60:C60"/>
    <mergeCell ref="D60:F60"/>
    <mergeCell ref="A61:I61"/>
    <mergeCell ref="A62:C62"/>
    <mergeCell ref="B63:E63"/>
    <mergeCell ref="G65:I65"/>
  </mergeCells>
  <printOptions horizontalCentered="1"/>
  <pageMargins left="0.27559055118110237" right="7.874015748031496E-2" top="0.39370078740157483" bottom="0.15748031496062992" header="0.19685039370078741" footer="0.15748031496062992"/>
  <pageSetup paperSize="9" scale="6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view="pageBreakPreview" zoomScale="90" zoomScaleNormal="100" zoomScaleSheetLayoutView="90" workbookViewId="0">
      <selection activeCell="A12" sqref="A12:K12"/>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60" customWidth="1"/>
    <col min="7" max="7" width="9.75" style="203" customWidth="1"/>
    <col min="8" max="8" width="13.375" style="221" bestFit="1" customWidth="1"/>
    <col min="9" max="9" width="9.375" style="49" customWidth="1"/>
    <col min="10" max="10" width="17.625" style="60" customWidth="1"/>
    <col min="11" max="11" width="12.625" style="49" customWidth="1"/>
    <col min="12" max="12" width="8.125" style="49" hidden="1" customWidth="1"/>
    <col min="13" max="13" width="15.375" style="49" hidden="1" customWidth="1"/>
    <col min="14" max="14" width="9.75" style="49" hidden="1" customWidth="1"/>
    <col min="15" max="15" width="0" style="49" hidden="1"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46"/>
      <c r="G3" s="46"/>
      <c r="H3" s="207"/>
      <c r="I3" s="46"/>
      <c r="J3" s="46"/>
      <c r="K3" s="46"/>
    </row>
    <row r="4" spans="1:26" ht="16.5" customHeight="1">
      <c r="A4" s="420" t="s">
        <v>295</v>
      </c>
      <c r="B4" s="420"/>
      <c r="C4" s="420"/>
      <c r="D4" s="420"/>
      <c r="E4" s="107"/>
      <c r="F4" s="108"/>
      <c r="G4" s="198"/>
      <c r="H4" s="421"/>
      <c r="I4" s="421"/>
      <c r="J4" s="421"/>
      <c r="K4" s="421"/>
      <c r="L4" s="109"/>
      <c r="M4" s="109"/>
      <c r="N4" s="109"/>
      <c r="O4" s="109"/>
      <c r="P4" s="109"/>
      <c r="Q4" s="109"/>
      <c r="R4" s="109"/>
      <c r="S4" s="109"/>
      <c r="T4" s="107"/>
      <c r="U4" s="107"/>
      <c r="V4" s="107"/>
      <c r="W4" s="107"/>
      <c r="X4" s="107"/>
      <c r="Y4" s="107"/>
      <c r="Z4" s="110"/>
    </row>
    <row r="5" spans="1:26">
      <c r="A5" s="423"/>
      <c r="B5" s="423"/>
      <c r="C5" s="423"/>
      <c r="D5" s="423"/>
      <c r="E5" s="107"/>
      <c r="F5" s="108"/>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243</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94"/>
      <c r="G9" s="94"/>
      <c r="H9" s="209"/>
      <c r="I9" s="94"/>
      <c r="J9" s="94"/>
      <c r="K9" s="94"/>
    </row>
    <row r="10" spans="1:26">
      <c r="A10" s="424" t="s">
        <v>118</v>
      </c>
      <c r="B10" s="424"/>
      <c r="C10" s="424"/>
      <c r="D10" s="424"/>
      <c r="E10" s="424"/>
      <c r="F10" s="424"/>
      <c r="G10" s="424"/>
      <c r="H10" s="424"/>
      <c r="I10" s="424"/>
      <c r="J10" s="424"/>
      <c r="K10" s="424"/>
    </row>
    <row r="11" spans="1:26" ht="77.25" customHeight="1">
      <c r="A11" s="425" t="s">
        <v>364</v>
      </c>
      <c r="B11" s="411"/>
      <c r="C11" s="411"/>
      <c r="D11" s="411"/>
      <c r="E11" s="411"/>
      <c r="F11" s="411"/>
      <c r="G11" s="411"/>
      <c r="H11" s="411"/>
      <c r="I11" s="411"/>
      <c r="J11" s="411"/>
      <c r="K11" s="411"/>
    </row>
    <row r="12" spans="1:26" ht="96.75" customHeight="1">
      <c r="A12" s="411" t="s">
        <v>363</v>
      </c>
      <c r="B12" s="411"/>
      <c r="C12" s="411"/>
      <c r="D12" s="411"/>
      <c r="E12" s="411"/>
      <c r="F12" s="411"/>
      <c r="G12" s="411"/>
      <c r="H12" s="411"/>
      <c r="I12" s="411"/>
      <c r="J12" s="411"/>
      <c r="K12" s="411"/>
    </row>
    <row r="13" spans="1:26" ht="96.75" customHeight="1">
      <c r="A13" s="411" t="s">
        <v>362</v>
      </c>
      <c r="B13" s="411"/>
      <c r="C13" s="411"/>
      <c r="D13" s="411"/>
      <c r="E13" s="411"/>
      <c r="F13" s="411"/>
      <c r="G13" s="411"/>
      <c r="H13" s="411"/>
      <c r="I13" s="411"/>
      <c r="J13" s="411"/>
      <c r="K13" s="411"/>
    </row>
    <row r="14" spans="1:26" ht="57.75" customHeight="1">
      <c r="A14" s="433" t="s">
        <v>478</v>
      </c>
      <c r="B14" s="434"/>
      <c r="C14" s="434"/>
      <c r="D14" s="434"/>
      <c r="E14" s="434"/>
      <c r="F14" s="434"/>
      <c r="G14" s="434"/>
      <c r="H14" s="434"/>
      <c r="I14" s="434"/>
      <c r="J14" s="434"/>
      <c r="K14" s="434"/>
    </row>
    <row r="15" spans="1:26" ht="60" customHeight="1">
      <c r="A15" s="411" t="s">
        <v>361</v>
      </c>
      <c r="B15" s="411"/>
      <c r="C15" s="411"/>
      <c r="D15" s="411"/>
      <c r="E15" s="411"/>
      <c r="F15" s="411"/>
      <c r="G15" s="411"/>
      <c r="H15" s="411"/>
      <c r="I15" s="411"/>
      <c r="J15" s="411"/>
      <c r="K15" s="411"/>
    </row>
    <row r="16" spans="1:26" ht="39" customHeight="1">
      <c r="A16" s="411" t="s">
        <v>360</v>
      </c>
      <c r="B16" s="411"/>
      <c r="C16" s="411"/>
      <c r="D16" s="411"/>
      <c r="E16" s="411"/>
      <c r="F16" s="411"/>
      <c r="G16" s="411"/>
      <c r="H16" s="411"/>
      <c r="I16" s="411"/>
      <c r="J16" s="411"/>
      <c r="K16" s="411"/>
    </row>
    <row r="17" spans="1:16" ht="39" customHeight="1">
      <c r="A17" s="411" t="s">
        <v>365</v>
      </c>
      <c r="B17" s="411"/>
      <c r="C17" s="411"/>
      <c r="D17" s="411"/>
      <c r="E17" s="411"/>
      <c r="F17" s="411"/>
      <c r="G17" s="411"/>
      <c r="H17" s="411"/>
      <c r="I17" s="411"/>
      <c r="J17" s="411"/>
      <c r="K17" s="411"/>
    </row>
    <row r="18" spans="1:16" ht="99" customHeight="1">
      <c r="A18" s="411" t="s">
        <v>380</v>
      </c>
      <c r="B18" s="411"/>
      <c r="C18" s="411"/>
      <c r="D18" s="411"/>
      <c r="E18" s="411"/>
      <c r="F18" s="411"/>
      <c r="G18" s="411"/>
      <c r="H18" s="411"/>
      <c r="I18" s="411"/>
      <c r="J18" s="411"/>
      <c r="K18" s="411"/>
    </row>
    <row r="19" spans="1:16">
      <c r="A19" s="414" t="s">
        <v>205</v>
      </c>
      <c r="B19" s="414"/>
      <c r="C19" s="414"/>
      <c r="D19" s="414"/>
      <c r="E19" s="414"/>
      <c r="F19" s="414"/>
      <c r="G19" s="414"/>
      <c r="H19" s="414"/>
      <c r="I19" s="48"/>
      <c r="J19" s="48"/>
      <c r="K19" s="48"/>
    </row>
    <row r="20" spans="1:16">
      <c r="A20" s="414" t="s">
        <v>304</v>
      </c>
      <c r="B20" s="414"/>
      <c r="C20" s="414"/>
      <c r="D20" s="414"/>
      <c r="E20" s="414"/>
      <c r="F20" s="414"/>
      <c r="G20" s="414"/>
      <c r="H20" s="414"/>
      <c r="I20" s="414"/>
      <c r="J20" s="414"/>
      <c r="K20" s="414"/>
    </row>
    <row r="21" spans="1:16">
      <c r="A21" s="414" t="s">
        <v>305</v>
      </c>
      <c r="B21" s="414"/>
      <c r="C21" s="414"/>
      <c r="D21" s="414"/>
      <c r="E21" s="414"/>
      <c r="F21" s="414"/>
      <c r="G21" s="414"/>
      <c r="H21" s="414"/>
      <c r="I21" s="414"/>
      <c r="J21" s="414"/>
      <c r="K21" s="414"/>
    </row>
    <row r="22" spans="1:16" ht="21" customHeight="1">
      <c r="A22" s="395" t="s">
        <v>306</v>
      </c>
      <c r="B22" s="395"/>
      <c r="C22" s="395"/>
      <c r="D22" s="395"/>
      <c r="E22" s="395"/>
      <c r="F22" s="395" t="s">
        <v>307</v>
      </c>
      <c r="G22" s="395"/>
      <c r="H22" s="395"/>
      <c r="I22" s="50"/>
      <c r="J22" s="50"/>
      <c r="K22" s="50"/>
    </row>
    <row r="23" spans="1:16" ht="20.25" customHeight="1">
      <c r="A23" s="395" t="s">
        <v>308</v>
      </c>
      <c r="B23" s="395"/>
      <c r="C23" s="395"/>
      <c r="D23" s="395"/>
      <c r="E23" s="395"/>
      <c r="F23" s="395"/>
      <c r="G23" s="395"/>
      <c r="H23" s="422" t="s">
        <v>119</v>
      </c>
      <c r="I23" s="422"/>
      <c r="J23" s="112"/>
      <c r="K23" s="50"/>
    </row>
    <row r="24" spans="1:16" ht="20.25" customHeight="1">
      <c r="A24" s="395" t="s">
        <v>309</v>
      </c>
      <c r="B24" s="395"/>
      <c r="C24" s="395"/>
      <c r="D24" s="395"/>
      <c r="E24" s="395"/>
      <c r="F24" s="395"/>
      <c r="G24" s="395"/>
      <c r="H24" s="395"/>
      <c r="I24" s="395"/>
      <c r="J24" s="395"/>
      <c r="K24" s="395"/>
    </row>
    <row r="25" spans="1:16" ht="20.25" customHeight="1">
      <c r="A25" s="395" t="s">
        <v>120</v>
      </c>
      <c r="B25" s="395"/>
      <c r="C25" s="395"/>
      <c r="D25" s="395"/>
      <c r="E25" s="395"/>
      <c r="F25" s="395"/>
      <c r="G25" s="395"/>
      <c r="H25" s="210">
        <v>5</v>
      </c>
      <c r="I25" s="395" t="s">
        <v>121</v>
      </c>
      <c r="J25" s="395"/>
      <c r="K25" s="50"/>
      <c r="L25" s="48"/>
      <c r="M25" s="48"/>
      <c r="O25" s="48"/>
      <c r="P25" s="48"/>
    </row>
    <row r="26" spans="1:16">
      <c r="A26" s="414" t="s">
        <v>122</v>
      </c>
      <c r="B26" s="414"/>
      <c r="C26" s="414"/>
      <c r="D26" s="414"/>
      <c r="E26" s="414"/>
      <c r="F26" s="414"/>
      <c r="G26" s="199"/>
      <c r="H26" s="211"/>
      <c r="I26" s="51"/>
      <c r="J26" s="51"/>
      <c r="K26" s="51"/>
    </row>
    <row r="27" spans="1:16" ht="38.25" customHeight="1">
      <c r="A27" s="394" t="s">
        <v>354</v>
      </c>
      <c r="B27" s="394"/>
      <c r="C27" s="394"/>
      <c r="D27" s="394"/>
      <c r="E27" s="394"/>
      <c r="F27" s="394"/>
      <c r="G27" s="394"/>
      <c r="H27" s="394"/>
      <c r="I27" s="394"/>
      <c r="J27" s="394"/>
      <c r="K27" s="394"/>
    </row>
    <row r="28" spans="1:16" s="115" customFormat="1" ht="42" customHeight="1">
      <c r="A28" s="426" t="s">
        <v>123</v>
      </c>
      <c r="B28" s="426"/>
      <c r="C28" s="426"/>
      <c r="D28" s="426"/>
      <c r="E28" s="426"/>
      <c r="F28" s="113">
        <v>1417</v>
      </c>
      <c r="G28" s="200" t="s">
        <v>179</v>
      </c>
      <c r="H28" s="212"/>
      <c r="I28" s="114"/>
      <c r="J28" s="114"/>
      <c r="K28" s="114"/>
    </row>
    <row r="29" spans="1:16" ht="22.5">
      <c r="A29" s="395" t="s">
        <v>124</v>
      </c>
      <c r="B29" s="395"/>
      <c r="C29" s="395"/>
      <c r="D29" s="395"/>
      <c r="E29" s="395"/>
      <c r="F29" s="116">
        <v>1176</v>
      </c>
      <c r="G29" s="190" t="s">
        <v>180</v>
      </c>
      <c r="H29" s="396" t="s">
        <v>125</v>
      </c>
      <c r="I29" s="396"/>
      <c r="J29" s="50"/>
      <c r="K29" s="50"/>
    </row>
    <row r="30" spans="1:16" s="120" customFormat="1" ht="40.5" customHeight="1">
      <c r="A30" s="117"/>
      <c r="B30" s="399" t="s">
        <v>126</v>
      </c>
      <c r="C30" s="399"/>
      <c r="D30" s="399"/>
      <c r="E30" s="118"/>
      <c r="F30" s="119">
        <v>251.2</v>
      </c>
      <c r="G30" s="190" t="s">
        <v>181</v>
      </c>
      <c r="H30" s="397" t="str">
        <f>"(Chiếm "&amp;N60&amp;"% Tổng diện tích đất nông nghiệp được giao đang sử dụng)"</f>
        <v>(Chiếm 17,73% Tổng diện tích đất nông nghiệp được giao đang sử dụng)</v>
      </c>
      <c r="I30" s="397"/>
      <c r="J30" s="397"/>
      <c r="K30" s="397"/>
    </row>
    <row r="31" spans="1:16" s="120" customFormat="1" ht="22.5">
      <c r="A31" s="117"/>
      <c r="B31" s="399" t="s">
        <v>127</v>
      </c>
      <c r="C31" s="399"/>
      <c r="D31" s="399"/>
      <c r="E31" s="121"/>
      <c r="F31" s="119">
        <f>F29-F30</f>
        <v>924.8</v>
      </c>
      <c r="G31" s="190" t="s">
        <v>181</v>
      </c>
      <c r="H31" s="213"/>
      <c r="I31" s="122"/>
      <c r="J31" s="122"/>
      <c r="K31" s="122"/>
    </row>
    <row r="32" spans="1:16" ht="109.5" customHeight="1">
      <c r="A32" s="437" t="s">
        <v>345</v>
      </c>
      <c r="B32" s="437"/>
      <c r="C32" s="437"/>
      <c r="D32" s="437"/>
      <c r="E32" s="437"/>
      <c r="F32" s="437"/>
      <c r="G32" s="437"/>
      <c r="H32" s="437"/>
      <c r="I32" s="437"/>
      <c r="J32" s="437"/>
      <c r="K32" s="437"/>
    </row>
    <row r="33" spans="1:11">
      <c r="A33" s="414" t="s">
        <v>206</v>
      </c>
      <c r="B33" s="414"/>
      <c r="C33" s="414"/>
      <c r="D33" s="414"/>
      <c r="E33" s="414"/>
      <c r="F33" s="414"/>
      <c r="G33" s="414"/>
      <c r="H33" s="414"/>
      <c r="I33" s="414"/>
      <c r="J33" s="414"/>
      <c r="K33" s="414"/>
    </row>
    <row r="34" spans="1:11" s="48" customFormat="1">
      <c r="A34" s="427" t="s">
        <v>128</v>
      </c>
      <c r="B34" s="427"/>
      <c r="C34" s="427"/>
      <c r="D34" s="427"/>
      <c r="E34" s="52"/>
      <c r="F34" s="53"/>
      <c r="G34" s="201"/>
      <c r="H34" s="214"/>
      <c r="I34" s="52"/>
      <c r="J34" s="53"/>
      <c r="K34" s="52"/>
    </row>
    <row r="35" spans="1:11" s="47" customFormat="1" ht="75.75" customHeight="1">
      <c r="A35" s="95" t="s">
        <v>129</v>
      </c>
      <c r="B35" s="403" t="s">
        <v>12</v>
      </c>
      <c r="C35" s="428"/>
      <c r="D35" s="95" t="s">
        <v>130</v>
      </c>
      <c r="E35" s="95" t="s">
        <v>131</v>
      </c>
      <c r="F35" s="429" t="s">
        <v>477</v>
      </c>
      <c r="G35" s="430"/>
      <c r="H35" s="215" t="s">
        <v>132</v>
      </c>
      <c r="I35" s="95" t="s">
        <v>133</v>
      </c>
      <c r="J35" s="96" t="s">
        <v>134</v>
      </c>
      <c r="K35" s="95" t="s">
        <v>6</v>
      </c>
    </row>
    <row r="36" spans="1:11" s="52" customFormat="1" ht="33" customHeight="1">
      <c r="A36" s="70">
        <v>1</v>
      </c>
      <c r="B36" s="431" t="s">
        <v>352</v>
      </c>
      <c r="C36" s="432"/>
      <c r="D36" s="65" t="s">
        <v>182</v>
      </c>
      <c r="E36" s="123">
        <f>F30</f>
        <v>251.2</v>
      </c>
      <c r="F36" s="392">
        <v>155000</v>
      </c>
      <c r="G36" s="393"/>
      <c r="H36" s="216"/>
      <c r="I36" s="67">
        <v>1</v>
      </c>
      <c r="J36" s="71">
        <f>E36*F36*I36</f>
        <v>38936000</v>
      </c>
      <c r="K36" s="70"/>
    </row>
    <row r="37" spans="1:11" s="128" customFormat="1" ht="36" customHeight="1">
      <c r="A37" s="405" t="s">
        <v>136</v>
      </c>
      <c r="B37" s="405"/>
      <c r="C37" s="405"/>
      <c r="D37" s="405"/>
      <c r="E37" s="124">
        <f>SUM(E36:E36)</f>
        <v>251.2</v>
      </c>
      <c r="F37" s="405"/>
      <c r="G37" s="405"/>
      <c r="H37" s="217"/>
      <c r="I37" s="125"/>
      <c r="J37" s="126">
        <f>SUM(J36:J36)</f>
        <v>38936000</v>
      </c>
      <c r="K37" s="127"/>
    </row>
    <row r="38" spans="1:11" s="47" customFormat="1">
      <c r="A38" s="448"/>
      <c r="B38" s="448"/>
      <c r="C38" s="448"/>
      <c r="D38" s="448"/>
      <c r="E38" s="448"/>
      <c r="F38" s="448"/>
      <c r="G38" s="448"/>
      <c r="H38" s="448"/>
      <c r="I38" s="448"/>
      <c r="J38" s="448"/>
      <c r="K38" s="448"/>
    </row>
    <row r="39" spans="1:11" s="129" customFormat="1" ht="39.75" customHeight="1">
      <c r="A39" s="407" t="s">
        <v>137</v>
      </c>
      <c r="B39" s="407"/>
      <c r="C39" s="407"/>
      <c r="D39" s="407"/>
      <c r="E39" s="407"/>
      <c r="F39" s="407"/>
      <c r="G39" s="407"/>
      <c r="H39" s="407"/>
      <c r="I39" s="407"/>
      <c r="J39" s="407"/>
      <c r="K39" s="407"/>
    </row>
    <row r="40" spans="1:11" s="130" customFormat="1" ht="62.25" customHeight="1">
      <c r="A40" s="95" t="s">
        <v>138</v>
      </c>
      <c r="B40" s="408" t="s">
        <v>139</v>
      </c>
      <c r="C40" s="409"/>
      <c r="D40" s="409"/>
      <c r="E40" s="409"/>
      <c r="F40" s="409"/>
      <c r="G40" s="409"/>
      <c r="H40" s="409"/>
      <c r="I40" s="409"/>
      <c r="J40" s="409"/>
      <c r="K40" s="410"/>
    </row>
    <row r="41" spans="1:11" ht="23.25" customHeight="1">
      <c r="A41" s="403" t="s">
        <v>129</v>
      </c>
      <c r="B41" s="403" t="s">
        <v>140</v>
      </c>
      <c r="C41" s="403" t="s">
        <v>141</v>
      </c>
      <c r="D41" s="403" t="s">
        <v>142</v>
      </c>
      <c r="E41" s="403"/>
      <c r="F41" s="403"/>
      <c r="G41" s="403" t="s">
        <v>143</v>
      </c>
      <c r="H41" s="330" t="s">
        <v>144</v>
      </c>
      <c r="I41" s="403" t="s">
        <v>133</v>
      </c>
      <c r="J41" s="404" t="s">
        <v>134</v>
      </c>
      <c r="K41" s="403" t="s">
        <v>6</v>
      </c>
    </row>
    <row r="42" spans="1:11" ht="36" customHeight="1">
      <c r="A42" s="403"/>
      <c r="B42" s="403"/>
      <c r="C42" s="403"/>
      <c r="D42" s="54" t="s">
        <v>145</v>
      </c>
      <c r="E42" s="54" t="s">
        <v>146</v>
      </c>
      <c r="F42" s="55" t="s">
        <v>165</v>
      </c>
      <c r="G42" s="403"/>
      <c r="H42" s="330"/>
      <c r="I42" s="403"/>
      <c r="J42" s="404"/>
      <c r="K42" s="403"/>
    </row>
    <row r="43" spans="1:11" ht="36" customHeight="1">
      <c r="A43" s="70">
        <v>1</v>
      </c>
      <c r="B43" s="224" t="s">
        <v>279</v>
      </c>
      <c r="C43" s="70" t="s">
        <v>182</v>
      </c>
      <c r="D43" s="68"/>
      <c r="E43" s="237">
        <v>37</v>
      </c>
      <c r="F43" s="232">
        <v>1.8</v>
      </c>
      <c r="G43" s="70">
        <f>ROUND(E43*F43,2)</f>
        <v>66.599999999999994</v>
      </c>
      <c r="H43" s="223">
        <v>272700</v>
      </c>
      <c r="I43" s="238">
        <v>0</v>
      </c>
      <c r="J43" s="252">
        <f>ROUND(G43*H43*I43,2)</f>
        <v>0</v>
      </c>
      <c r="K43" s="70"/>
    </row>
    <row r="44" spans="1:11" s="69" customFormat="1" ht="19.5">
      <c r="A44" s="440" t="s">
        <v>147</v>
      </c>
      <c r="B44" s="440"/>
      <c r="C44" s="440"/>
      <c r="D44" s="131"/>
      <c r="E44" s="132"/>
      <c r="F44" s="133"/>
      <c r="G44" s="202"/>
      <c r="H44" s="218"/>
      <c r="I44" s="58"/>
      <c r="J44" s="134">
        <f>SUM(J43)</f>
        <v>0</v>
      </c>
      <c r="K44" s="135"/>
    </row>
    <row r="45" spans="1:11" s="69" customFormat="1" ht="44.25" customHeight="1">
      <c r="A45" s="95" t="s">
        <v>148</v>
      </c>
      <c r="B45" s="408" t="s">
        <v>351</v>
      </c>
      <c r="C45" s="409"/>
      <c r="D45" s="409"/>
      <c r="E45" s="409"/>
      <c r="F45" s="409"/>
      <c r="G45" s="409"/>
      <c r="H45" s="409"/>
      <c r="I45" s="409"/>
      <c r="J45" s="409"/>
      <c r="K45" s="410"/>
    </row>
    <row r="46" spans="1:11" s="69" customFormat="1" ht="61.5" customHeight="1">
      <c r="A46" s="56" t="s">
        <v>129</v>
      </c>
      <c r="B46" s="56" t="s">
        <v>149</v>
      </c>
      <c r="C46" s="56" t="s">
        <v>141</v>
      </c>
      <c r="D46" s="415" t="s">
        <v>150</v>
      </c>
      <c r="E46" s="416"/>
      <c r="F46" s="417"/>
      <c r="G46" s="57" t="s">
        <v>151</v>
      </c>
      <c r="H46" s="219" t="s">
        <v>144</v>
      </c>
      <c r="I46" s="58" t="s">
        <v>133</v>
      </c>
      <c r="J46" s="59" t="s">
        <v>134</v>
      </c>
      <c r="K46" s="56" t="s">
        <v>6</v>
      </c>
    </row>
    <row r="47" spans="1:11" s="195" customFormat="1" ht="39" customHeight="1">
      <c r="A47" s="400">
        <v>1</v>
      </c>
      <c r="B47" s="412" t="s">
        <v>273</v>
      </c>
      <c r="C47" s="400" t="s">
        <v>255</v>
      </c>
      <c r="D47" s="387" t="s">
        <v>282</v>
      </c>
      <c r="E47" s="388"/>
      <c r="F47" s="389"/>
      <c r="G47" s="194">
        <v>17</v>
      </c>
      <c r="H47" s="220">
        <v>430900</v>
      </c>
      <c r="I47" s="67">
        <v>0</v>
      </c>
      <c r="J47" s="136">
        <f>ROUND(G47*H47*I47,2)</f>
        <v>0</v>
      </c>
      <c r="K47" s="194"/>
    </row>
    <row r="48" spans="1:11" s="195" customFormat="1" ht="32.25" customHeight="1">
      <c r="A48" s="402"/>
      <c r="B48" s="413"/>
      <c r="C48" s="402"/>
      <c r="D48" s="387" t="s">
        <v>283</v>
      </c>
      <c r="E48" s="388"/>
      <c r="F48" s="389"/>
      <c r="G48" s="194">
        <v>2</v>
      </c>
      <c r="H48" s="220">
        <v>71800</v>
      </c>
      <c r="I48" s="67">
        <v>0</v>
      </c>
      <c r="J48" s="136">
        <f t="shared" ref="J48:J51" si="0">ROUND(G48*H48*I48,2)</f>
        <v>0</v>
      </c>
      <c r="K48" s="194"/>
    </row>
    <row r="49" spans="1:15" s="195" customFormat="1" ht="33.75" customHeight="1">
      <c r="A49" s="194">
        <v>2</v>
      </c>
      <c r="B49" s="204" t="s">
        <v>256</v>
      </c>
      <c r="C49" s="194" t="s">
        <v>255</v>
      </c>
      <c r="D49" s="387" t="s">
        <v>284</v>
      </c>
      <c r="E49" s="388"/>
      <c r="F49" s="389"/>
      <c r="G49" s="194">
        <v>2</v>
      </c>
      <c r="H49" s="220">
        <v>682500</v>
      </c>
      <c r="I49" s="67">
        <v>0</v>
      </c>
      <c r="J49" s="136">
        <f t="shared" si="0"/>
        <v>0</v>
      </c>
      <c r="K49" s="194"/>
    </row>
    <row r="50" spans="1:15" s="195" customFormat="1" ht="33.75" customHeight="1">
      <c r="A50" s="194">
        <v>3</v>
      </c>
      <c r="B50" s="204" t="s">
        <v>281</v>
      </c>
      <c r="C50" s="194" t="s">
        <v>255</v>
      </c>
      <c r="D50" s="387" t="s">
        <v>285</v>
      </c>
      <c r="E50" s="388"/>
      <c r="F50" s="389"/>
      <c r="G50" s="194">
        <v>1</v>
      </c>
      <c r="H50" s="220">
        <v>42000</v>
      </c>
      <c r="I50" s="67">
        <v>0</v>
      </c>
      <c r="J50" s="136">
        <f t="shared" si="0"/>
        <v>0</v>
      </c>
      <c r="K50" s="194"/>
    </row>
    <row r="51" spans="1:15" s="195" customFormat="1" ht="28.5" customHeight="1">
      <c r="A51" s="194">
        <v>4</v>
      </c>
      <c r="B51" s="197" t="s">
        <v>253</v>
      </c>
      <c r="C51" s="194" t="s">
        <v>250</v>
      </c>
      <c r="D51" s="387"/>
      <c r="E51" s="388"/>
      <c r="F51" s="389"/>
      <c r="G51" s="194">
        <v>2</v>
      </c>
      <c r="H51" s="220">
        <v>4200</v>
      </c>
      <c r="I51" s="67">
        <v>0</v>
      </c>
      <c r="J51" s="136">
        <f t="shared" si="0"/>
        <v>0</v>
      </c>
      <c r="K51" s="194"/>
    </row>
    <row r="52" spans="1:15" s="47" customFormat="1">
      <c r="A52" s="403" t="s">
        <v>147</v>
      </c>
      <c r="B52" s="403"/>
      <c r="C52" s="403"/>
      <c r="D52" s="403"/>
      <c r="E52" s="403"/>
      <c r="F52" s="403"/>
      <c r="G52" s="95"/>
      <c r="H52" s="217"/>
      <c r="I52" s="137"/>
      <c r="J52" s="138">
        <f>SUM(J47:J51)</f>
        <v>0</v>
      </c>
      <c r="K52" s="70"/>
    </row>
    <row r="53" spans="1:15" s="47" customFormat="1">
      <c r="A53" s="403" t="s">
        <v>152</v>
      </c>
      <c r="B53" s="403"/>
      <c r="C53" s="403"/>
      <c r="D53" s="403"/>
      <c r="E53" s="403"/>
      <c r="F53" s="403"/>
      <c r="G53" s="403"/>
      <c r="H53" s="403"/>
      <c r="I53" s="403"/>
      <c r="J53" s="138">
        <f>J52+J44</f>
        <v>0</v>
      </c>
      <c r="K53" s="70"/>
    </row>
    <row r="54" spans="1:15" ht="24.95" customHeight="1">
      <c r="A54" s="414" t="s">
        <v>153</v>
      </c>
      <c r="B54" s="414"/>
      <c r="C54" s="414"/>
    </row>
    <row r="55" spans="1:15" ht="36" customHeight="1">
      <c r="A55" s="95" t="s">
        <v>129</v>
      </c>
      <c r="B55" s="415" t="s">
        <v>154</v>
      </c>
      <c r="C55" s="416"/>
      <c r="D55" s="416"/>
      <c r="E55" s="417"/>
      <c r="F55" s="95" t="s">
        <v>130</v>
      </c>
      <c r="G55" s="95" t="s">
        <v>151</v>
      </c>
      <c r="H55" s="222" t="s">
        <v>144</v>
      </c>
      <c r="I55" s="61" t="s">
        <v>155</v>
      </c>
      <c r="J55" s="96" t="s">
        <v>134</v>
      </c>
      <c r="K55" s="95" t="s">
        <v>6</v>
      </c>
    </row>
    <row r="56" spans="1:15" ht="99.75" customHeight="1">
      <c r="A56" s="70">
        <v>1</v>
      </c>
      <c r="B56" s="439" t="s">
        <v>156</v>
      </c>
      <c r="C56" s="439"/>
      <c r="D56" s="439"/>
      <c r="E56" s="439"/>
      <c r="F56" s="70" t="s">
        <v>182</v>
      </c>
      <c r="G56" s="139">
        <f>F30</f>
        <v>251.2</v>
      </c>
      <c r="H56" s="223">
        <f>155000*5</f>
        <v>775000</v>
      </c>
      <c r="I56" s="67">
        <v>1</v>
      </c>
      <c r="J56" s="136">
        <f t="shared" ref="J56" si="1">ROUND(G56*H56*I56,2)</f>
        <v>194680000</v>
      </c>
      <c r="K56" s="62" t="s">
        <v>157</v>
      </c>
    </row>
    <row r="57" spans="1:15" ht="117" customHeight="1">
      <c r="A57" s="70">
        <v>2</v>
      </c>
      <c r="B57" s="439" t="s">
        <v>369</v>
      </c>
      <c r="C57" s="439"/>
      <c r="D57" s="439"/>
      <c r="E57" s="439"/>
      <c r="F57" s="70" t="s">
        <v>158</v>
      </c>
      <c r="G57" s="441" t="s">
        <v>383</v>
      </c>
      <c r="H57" s="442"/>
      <c r="I57" s="443"/>
      <c r="J57" s="140">
        <f>H25*30*16000*2</f>
        <v>4800000</v>
      </c>
      <c r="K57" s="63" t="s">
        <v>371</v>
      </c>
    </row>
    <row r="58" spans="1:15" s="47" customFormat="1" ht="83.25" customHeight="1">
      <c r="A58" s="70">
        <v>3</v>
      </c>
      <c r="B58" s="439" t="s">
        <v>159</v>
      </c>
      <c r="C58" s="439"/>
      <c r="D58" s="439"/>
      <c r="E58" s="439"/>
      <c r="F58" s="70" t="s">
        <v>182</v>
      </c>
      <c r="G58" s="141">
        <f>F30</f>
        <v>251.2</v>
      </c>
      <c r="H58" s="223">
        <v>3000</v>
      </c>
      <c r="I58" s="67">
        <v>1</v>
      </c>
      <c r="J58" s="140">
        <f>IF(G58*H58*I58&gt;=3000000,3000000,G58*H58*I58)</f>
        <v>753600</v>
      </c>
      <c r="K58" s="65"/>
    </row>
    <row r="59" spans="1:15" ht="36.75" customHeight="1">
      <c r="A59" s="403" t="s">
        <v>136</v>
      </c>
      <c r="B59" s="403"/>
      <c r="C59" s="403"/>
      <c r="D59" s="403"/>
      <c r="E59" s="403"/>
      <c r="F59" s="403"/>
      <c r="G59" s="403"/>
      <c r="H59" s="403"/>
      <c r="I59" s="403"/>
      <c r="J59" s="138">
        <f>SUM(J56:J58)</f>
        <v>200233600</v>
      </c>
      <c r="K59" s="66"/>
    </row>
    <row r="60" spans="1:15">
      <c r="A60" s="438" t="s">
        <v>160</v>
      </c>
      <c r="B60" s="438"/>
      <c r="C60" s="438"/>
      <c r="D60" s="438"/>
      <c r="E60" s="438"/>
      <c r="F60" s="438"/>
      <c r="G60" s="435">
        <f>J37+J53+J59</f>
        <v>239169600</v>
      </c>
      <c r="H60" s="435"/>
      <c r="I60" s="142" t="s">
        <v>161</v>
      </c>
      <c r="K60" s="128"/>
      <c r="N60" s="64">
        <f>ROUND(F30/F28%,2)</f>
        <v>17.73</v>
      </c>
      <c r="O60" s="143">
        <f>H25</f>
        <v>5</v>
      </c>
    </row>
    <row r="61" spans="1:15" ht="32.25" customHeight="1">
      <c r="B61" s="105" t="s">
        <v>178</v>
      </c>
      <c r="C61" s="436" t="str">
        <f>[1]!VND(G60)</f>
        <v>Hai trăm ba mươi chín triệu, một trăm sáu mươi chín nghìn, sáu trăm đồng chẵn.</v>
      </c>
      <c r="D61" s="436"/>
      <c r="E61" s="436"/>
      <c r="F61" s="436"/>
      <c r="G61" s="436"/>
      <c r="H61" s="436"/>
      <c r="I61" s="436"/>
      <c r="J61" s="436"/>
      <c r="K61" s="436"/>
    </row>
    <row r="62" spans="1:15" s="128" customFormat="1">
      <c r="A62" s="47"/>
      <c r="B62" s="49"/>
      <c r="C62" s="49"/>
      <c r="D62" s="49"/>
      <c r="E62" s="49"/>
      <c r="F62" s="60"/>
      <c r="G62" s="203"/>
      <c r="H62" s="221"/>
      <c r="I62" s="49"/>
      <c r="J62" s="60"/>
      <c r="K62" s="49"/>
    </row>
    <row r="63" spans="1:15" s="128" customFormat="1">
      <c r="A63" s="47"/>
      <c r="B63" s="49"/>
      <c r="C63" s="49"/>
      <c r="D63" s="49"/>
      <c r="E63" s="49"/>
      <c r="F63" s="60"/>
      <c r="G63" s="203"/>
      <c r="H63" s="221"/>
      <c r="I63" s="49"/>
      <c r="J63" s="60"/>
      <c r="K63" s="49"/>
    </row>
  </sheetData>
  <mergeCells count="82">
    <mergeCell ref="A16:K16"/>
    <mergeCell ref="A17:K17"/>
    <mergeCell ref="G57:I57"/>
    <mergeCell ref="C61:K61"/>
    <mergeCell ref="A47:A48"/>
    <mergeCell ref="B47:B48"/>
    <mergeCell ref="C47:C48"/>
    <mergeCell ref="B56:E56"/>
    <mergeCell ref="B57:E57"/>
    <mergeCell ref="B58:E58"/>
    <mergeCell ref="A59:I59"/>
    <mergeCell ref="A60:F60"/>
    <mergeCell ref="G60:H60"/>
    <mergeCell ref="A52:C52"/>
    <mergeCell ref="D52:F52"/>
    <mergeCell ref="A53:I53"/>
    <mergeCell ref="A54:C54"/>
    <mergeCell ref="B55:E55"/>
    <mergeCell ref="D51:F51"/>
    <mergeCell ref="D50:F50"/>
    <mergeCell ref="D49:F49"/>
    <mergeCell ref="A44:C44"/>
    <mergeCell ref="B45:K45"/>
    <mergeCell ref="D46:F46"/>
    <mergeCell ref="D47:F47"/>
    <mergeCell ref="D48:F48"/>
    <mergeCell ref="B40:K40"/>
    <mergeCell ref="A41:A42"/>
    <mergeCell ref="B41:B42"/>
    <mergeCell ref="C41:C42"/>
    <mergeCell ref="D41:F41"/>
    <mergeCell ref="G41:G42"/>
    <mergeCell ref="H41:H42"/>
    <mergeCell ref="I41:I42"/>
    <mergeCell ref="J41:J42"/>
    <mergeCell ref="K41:K42"/>
    <mergeCell ref="A39:K39"/>
    <mergeCell ref="B31:D31"/>
    <mergeCell ref="A32:K32"/>
    <mergeCell ref="A33:K33"/>
    <mergeCell ref="A34:D34"/>
    <mergeCell ref="B35:C35"/>
    <mergeCell ref="F35:G35"/>
    <mergeCell ref="B36:C36"/>
    <mergeCell ref="F36:G36"/>
    <mergeCell ref="A37:D37"/>
    <mergeCell ref="F37:G37"/>
    <mergeCell ref="A38:K38"/>
    <mergeCell ref="A27:K27"/>
    <mergeCell ref="A28:E28"/>
    <mergeCell ref="A29:E29"/>
    <mergeCell ref="H29:I29"/>
    <mergeCell ref="B30:D30"/>
    <mergeCell ref="H30:K30"/>
    <mergeCell ref="A26:F26"/>
    <mergeCell ref="A18:K18"/>
    <mergeCell ref="A19:H19"/>
    <mergeCell ref="A20:K20"/>
    <mergeCell ref="A21:K21"/>
    <mergeCell ref="A22:E22"/>
    <mergeCell ref="F22:H22"/>
    <mergeCell ref="A23:G23"/>
    <mergeCell ref="H23:I23"/>
    <mergeCell ref="A24:K24"/>
    <mergeCell ref="A25:G25"/>
    <mergeCell ref="I25:J25"/>
    <mergeCell ref="A1:D1"/>
    <mergeCell ref="E1:K1"/>
    <mergeCell ref="A2:D2"/>
    <mergeCell ref="E2:K2"/>
    <mergeCell ref="A4:D4"/>
    <mergeCell ref="H4:K4"/>
    <mergeCell ref="A11:K11"/>
    <mergeCell ref="A12:K12"/>
    <mergeCell ref="A13:K13"/>
    <mergeCell ref="A15:K15"/>
    <mergeCell ref="A5:D5"/>
    <mergeCell ref="B6:K6"/>
    <mergeCell ref="A7:K7"/>
    <mergeCell ref="A8:K8"/>
    <mergeCell ref="A10:K10"/>
    <mergeCell ref="A14:K14"/>
  </mergeCells>
  <printOptions horizontalCentered="1"/>
  <pageMargins left="0.27559055118110237" right="7.874015748031496E-2" top="0.39370078740157483" bottom="0.15748031496062992" header="0.19685039370078741" footer="0.15748031496062992"/>
  <pageSetup paperSize="9" scale="67" fitToHeight="0" orientation="portrait" r:id="rId1"/>
  <rowBreaks count="1" manualBreakCount="1">
    <brk id="34"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1"/>
  <sheetViews>
    <sheetView view="pageBreakPreview" zoomScale="70" zoomScaleNormal="100" zoomScaleSheetLayoutView="70" workbookViewId="0">
      <selection activeCell="A12" sqref="A12:K12"/>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60" customWidth="1"/>
    <col min="7" max="7" width="9.75" style="203" customWidth="1"/>
    <col min="8" max="8" width="13.375" style="221" bestFit="1" customWidth="1"/>
    <col min="9" max="9" width="9.375" style="49" customWidth="1"/>
    <col min="10" max="10" width="17.625" style="60" customWidth="1"/>
    <col min="11" max="11" width="12.625" style="49" customWidth="1"/>
    <col min="12" max="12" width="8.125" style="49" hidden="1" customWidth="1"/>
    <col min="13" max="13" width="15.375" style="49" hidden="1" customWidth="1"/>
    <col min="14" max="14" width="9.75" style="49" hidden="1" customWidth="1"/>
    <col min="15" max="15" width="0" style="49" hidden="1"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46"/>
      <c r="G3" s="46"/>
      <c r="H3" s="207"/>
      <c r="I3" s="46"/>
      <c r="J3" s="46"/>
      <c r="K3" s="46"/>
    </row>
    <row r="4" spans="1:26" ht="16.5" customHeight="1">
      <c r="A4" s="420" t="s">
        <v>296</v>
      </c>
      <c r="B4" s="420"/>
      <c r="C4" s="420"/>
      <c r="D4" s="420"/>
      <c r="E4" s="107"/>
      <c r="F4" s="108"/>
      <c r="G4" s="198"/>
      <c r="H4" s="421"/>
      <c r="I4" s="421"/>
      <c r="J4" s="421"/>
      <c r="K4" s="421"/>
      <c r="L4" s="109"/>
      <c r="M4" s="109"/>
      <c r="N4" s="109"/>
      <c r="O4" s="109"/>
      <c r="P4" s="109"/>
      <c r="Q4" s="109"/>
      <c r="R4" s="109"/>
      <c r="S4" s="109"/>
      <c r="T4" s="107"/>
      <c r="U4" s="107"/>
      <c r="V4" s="107"/>
      <c r="W4" s="107"/>
      <c r="X4" s="107"/>
      <c r="Y4" s="107"/>
      <c r="Z4" s="110"/>
    </row>
    <row r="5" spans="1:26">
      <c r="A5" s="423"/>
      <c r="B5" s="423"/>
      <c r="C5" s="423"/>
      <c r="D5" s="423"/>
      <c r="E5" s="107"/>
      <c r="F5" s="108"/>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243</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94"/>
      <c r="G9" s="94"/>
      <c r="H9" s="209"/>
      <c r="I9" s="94"/>
      <c r="J9" s="94"/>
      <c r="K9" s="94"/>
    </row>
    <row r="10" spans="1:26">
      <c r="A10" s="424" t="s">
        <v>118</v>
      </c>
      <c r="B10" s="424"/>
      <c r="C10" s="424"/>
      <c r="D10" s="424"/>
      <c r="E10" s="424"/>
      <c r="F10" s="424"/>
      <c r="G10" s="424"/>
      <c r="H10" s="424"/>
      <c r="I10" s="424"/>
      <c r="J10" s="424"/>
      <c r="K10" s="424"/>
    </row>
    <row r="11" spans="1:26" ht="77.25" customHeight="1">
      <c r="A11" s="425" t="s">
        <v>364</v>
      </c>
      <c r="B11" s="411"/>
      <c r="C11" s="411"/>
      <c r="D11" s="411"/>
      <c r="E11" s="411"/>
      <c r="F11" s="411"/>
      <c r="G11" s="411"/>
      <c r="H11" s="411"/>
      <c r="I11" s="411"/>
      <c r="J11" s="411"/>
      <c r="K11" s="411"/>
    </row>
    <row r="12" spans="1:26" ht="96.75" customHeight="1">
      <c r="A12" s="411" t="s">
        <v>363</v>
      </c>
      <c r="B12" s="411"/>
      <c r="C12" s="411"/>
      <c r="D12" s="411"/>
      <c r="E12" s="411"/>
      <c r="F12" s="411"/>
      <c r="G12" s="411"/>
      <c r="H12" s="411"/>
      <c r="I12" s="411"/>
      <c r="J12" s="411"/>
      <c r="K12" s="411"/>
    </row>
    <row r="13" spans="1:26" ht="96.75" customHeight="1">
      <c r="A13" s="411" t="s">
        <v>362</v>
      </c>
      <c r="B13" s="411"/>
      <c r="C13" s="411"/>
      <c r="D13" s="411"/>
      <c r="E13" s="411"/>
      <c r="F13" s="411"/>
      <c r="G13" s="411"/>
      <c r="H13" s="411"/>
      <c r="I13" s="411"/>
      <c r="J13" s="411"/>
      <c r="K13" s="411"/>
    </row>
    <row r="14" spans="1:26" ht="57.75" customHeight="1">
      <c r="A14" s="433" t="s">
        <v>478</v>
      </c>
      <c r="B14" s="434"/>
      <c r="C14" s="434"/>
      <c r="D14" s="434"/>
      <c r="E14" s="434"/>
      <c r="F14" s="434"/>
      <c r="G14" s="434"/>
      <c r="H14" s="434"/>
      <c r="I14" s="434"/>
      <c r="J14" s="434"/>
      <c r="K14" s="434"/>
    </row>
    <row r="15" spans="1:26" ht="60" customHeight="1">
      <c r="A15" s="411" t="s">
        <v>361</v>
      </c>
      <c r="B15" s="411"/>
      <c r="C15" s="411"/>
      <c r="D15" s="411"/>
      <c r="E15" s="411"/>
      <c r="F15" s="411"/>
      <c r="G15" s="411"/>
      <c r="H15" s="411"/>
      <c r="I15" s="411"/>
      <c r="J15" s="411"/>
      <c r="K15" s="411"/>
    </row>
    <row r="16" spans="1:26" ht="39" customHeight="1">
      <c r="A16" s="411" t="s">
        <v>360</v>
      </c>
      <c r="B16" s="411"/>
      <c r="C16" s="411"/>
      <c r="D16" s="411"/>
      <c r="E16" s="411"/>
      <c r="F16" s="411"/>
      <c r="G16" s="411"/>
      <c r="H16" s="411"/>
      <c r="I16" s="411"/>
      <c r="J16" s="411"/>
      <c r="K16" s="411"/>
    </row>
    <row r="17" spans="1:16" ht="39" customHeight="1">
      <c r="A17" s="411" t="s">
        <v>365</v>
      </c>
      <c r="B17" s="411"/>
      <c r="C17" s="411"/>
      <c r="D17" s="411"/>
      <c r="E17" s="411"/>
      <c r="F17" s="411"/>
      <c r="G17" s="411"/>
      <c r="H17" s="411"/>
      <c r="I17" s="411"/>
      <c r="J17" s="411"/>
      <c r="K17" s="411"/>
    </row>
    <row r="18" spans="1:16" ht="98.25" customHeight="1">
      <c r="A18" s="411" t="s">
        <v>380</v>
      </c>
      <c r="B18" s="411"/>
      <c r="C18" s="411"/>
      <c r="D18" s="411"/>
      <c r="E18" s="411"/>
      <c r="F18" s="411"/>
      <c r="G18" s="411"/>
      <c r="H18" s="411"/>
      <c r="I18" s="411"/>
      <c r="J18" s="411"/>
      <c r="K18" s="411"/>
    </row>
    <row r="19" spans="1:16">
      <c r="A19" s="414" t="s">
        <v>205</v>
      </c>
      <c r="B19" s="414"/>
      <c r="C19" s="414"/>
      <c r="D19" s="414"/>
      <c r="E19" s="414"/>
      <c r="F19" s="414"/>
      <c r="G19" s="414"/>
      <c r="H19" s="414"/>
      <c r="I19" s="48"/>
      <c r="J19" s="48"/>
      <c r="K19" s="48"/>
    </row>
    <row r="20" spans="1:16" ht="25.5" customHeight="1">
      <c r="A20" s="414" t="s">
        <v>310</v>
      </c>
      <c r="B20" s="414"/>
      <c r="C20" s="414"/>
      <c r="D20" s="414"/>
      <c r="E20" s="414"/>
      <c r="F20" s="414"/>
      <c r="G20" s="414"/>
      <c r="H20" s="414"/>
      <c r="I20" s="414"/>
      <c r="J20" s="414"/>
      <c r="K20" s="414"/>
    </row>
    <row r="21" spans="1:16" ht="25.5" customHeight="1">
      <c r="A21" s="414" t="s">
        <v>311</v>
      </c>
      <c r="B21" s="414"/>
      <c r="C21" s="414"/>
      <c r="D21" s="414"/>
      <c r="E21" s="414"/>
      <c r="F21" s="414"/>
      <c r="G21" s="414"/>
      <c r="H21" s="414"/>
      <c r="I21" s="414"/>
      <c r="J21" s="414"/>
      <c r="K21" s="414"/>
    </row>
    <row r="22" spans="1:16" ht="25.5" customHeight="1">
      <c r="A22" s="395" t="s">
        <v>312</v>
      </c>
      <c r="B22" s="395"/>
      <c r="C22" s="395"/>
      <c r="D22" s="395"/>
      <c r="E22" s="395"/>
      <c r="F22" s="395" t="s">
        <v>313</v>
      </c>
      <c r="G22" s="395"/>
      <c r="H22" s="395"/>
      <c r="I22" s="50"/>
      <c r="J22" s="50"/>
      <c r="K22" s="50"/>
    </row>
    <row r="23" spans="1:16" ht="25.5" customHeight="1">
      <c r="A23" s="395" t="s">
        <v>302</v>
      </c>
      <c r="B23" s="395"/>
      <c r="C23" s="395"/>
      <c r="D23" s="395"/>
      <c r="E23" s="395"/>
      <c r="F23" s="395"/>
      <c r="G23" s="395"/>
      <c r="H23" s="422" t="s">
        <v>119</v>
      </c>
      <c r="I23" s="422"/>
      <c r="J23" s="112" t="s">
        <v>231</v>
      </c>
      <c r="K23" s="50"/>
    </row>
    <row r="24" spans="1:16" ht="25.5" customHeight="1">
      <c r="A24" s="395" t="s">
        <v>303</v>
      </c>
      <c r="B24" s="395"/>
      <c r="C24" s="395"/>
      <c r="D24" s="395"/>
      <c r="E24" s="395"/>
      <c r="F24" s="395"/>
      <c r="G24" s="395"/>
      <c r="H24" s="395"/>
      <c r="I24" s="395"/>
      <c r="J24" s="395"/>
      <c r="K24" s="395"/>
    </row>
    <row r="25" spans="1:16" ht="25.5" customHeight="1">
      <c r="A25" s="395" t="s">
        <v>120</v>
      </c>
      <c r="B25" s="395"/>
      <c r="C25" s="395"/>
      <c r="D25" s="395"/>
      <c r="E25" s="395"/>
      <c r="F25" s="395"/>
      <c r="G25" s="395"/>
      <c r="H25" s="210">
        <v>8</v>
      </c>
      <c r="I25" s="395" t="s">
        <v>121</v>
      </c>
      <c r="J25" s="395"/>
      <c r="K25" s="50"/>
      <c r="L25" s="48"/>
      <c r="M25" s="48"/>
      <c r="O25" s="48"/>
      <c r="P25" s="48"/>
    </row>
    <row r="26" spans="1:16" ht="25.5" customHeight="1">
      <c r="A26" s="414" t="s">
        <v>122</v>
      </c>
      <c r="B26" s="414"/>
      <c r="C26" s="414"/>
      <c r="D26" s="414"/>
      <c r="E26" s="414"/>
      <c r="F26" s="414"/>
      <c r="G26" s="199"/>
      <c r="H26" s="211"/>
      <c r="I26" s="51"/>
      <c r="J26" s="51"/>
      <c r="K26" s="51"/>
    </row>
    <row r="27" spans="1:16" ht="38.25" customHeight="1">
      <c r="A27" s="394" t="s">
        <v>356</v>
      </c>
      <c r="B27" s="394"/>
      <c r="C27" s="394"/>
      <c r="D27" s="394"/>
      <c r="E27" s="394"/>
      <c r="F27" s="394"/>
      <c r="G27" s="394"/>
      <c r="H27" s="394"/>
      <c r="I27" s="394"/>
      <c r="J27" s="394"/>
      <c r="K27" s="394"/>
    </row>
    <row r="28" spans="1:16" s="115" customFormat="1" ht="42" customHeight="1">
      <c r="A28" s="426" t="s">
        <v>123</v>
      </c>
      <c r="B28" s="426"/>
      <c r="C28" s="426"/>
      <c r="D28" s="426"/>
      <c r="E28" s="426"/>
      <c r="F28" s="113">
        <v>2445</v>
      </c>
      <c r="G28" s="200" t="s">
        <v>179</v>
      </c>
      <c r="H28" s="212"/>
      <c r="I28" s="114"/>
      <c r="J28" s="114"/>
      <c r="K28" s="114"/>
    </row>
    <row r="29" spans="1:16" ht="22.5">
      <c r="A29" s="395" t="s">
        <v>124</v>
      </c>
      <c r="B29" s="395"/>
      <c r="C29" s="395"/>
      <c r="D29" s="395"/>
      <c r="E29" s="395"/>
      <c r="F29" s="116">
        <v>508</v>
      </c>
      <c r="G29" s="190" t="s">
        <v>180</v>
      </c>
      <c r="H29" s="396" t="s">
        <v>125</v>
      </c>
      <c r="I29" s="396"/>
      <c r="J29" s="50"/>
      <c r="K29" s="50"/>
    </row>
    <row r="30" spans="1:16" s="120" customFormat="1" ht="40.5" customHeight="1">
      <c r="A30" s="117"/>
      <c r="B30" s="399" t="s">
        <v>126</v>
      </c>
      <c r="C30" s="399"/>
      <c r="D30" s="399"/>
      <c r="E30" s="118"/>
      <c r="F30" s="119">
        <v>403.7</v>
      </c>
      <c r="G30" s="190" t="s">
        <v>181</v>
      </c>
      <c r="H30" s="397" t="str">
        <f>"(Chiếm "&amp;N58&amp;"% Tổng diện tích đất nông nghiệp được giao đang sử dụng)"</f>
        <v>(Chiếm 16,51% Tổng diện tích đất nông nghiệp được giao đang sử dụng)</v>
      </c>
      <c r="I30" s="397"/>
      <c r="J30" s="397"/>
      <c r="K30" s="397"/>
    </row>
    <row r="31" spans="1:16" s="120" customFormat="1" ht="22.5">
      <c r="A31" s="117"/>
      <c r="B31" s="399" t="s">
        <v>127</v>
      </c>
      <c r="C31" s="399"/>
      <c r="D31" s="399"/>
      <c r="E31" s="121"/>
      <c r="F31" s="119">
        <f>F29-F30</f>
        <v>104.30000000000001</v>
      </c>
      <c r="G31" s="190" t="s">
        <v>181</v>
      </c>
      <c r="H31" s="213"/>
      <c r="I31" s="122"/>
      <c r="J31" s="122"/>
      <c r="K31" s="122"/>
    </row>
    <row r="32" spans="1:16" ht="113.25" customHeight="1">
      <c r="A32" s="437" t="s">
        <v>485</v>
      </c>
      <c r="B32" s="437"/>
      <c r="C32" s="437"/>
      <c r="D32" s="437"/>
      <c r="E32" s="437"/>
      <c r="F32" s="437"/>
      <c r="G32" s="437"/>
      <c r="H32" s="437"/>
      <c r="I32" s="437"/>
      <c r="J32" s="437"/>
      <c r="K32" s="437"/>
    </row>
    <row r="33" spans="1:11" ht="70.5" customHeight="1">
      <c r="A33" s="449" t="s">
        <v>486</v>
      </c>
      <c r="B33" s="437"/>
      <c r="C33" s="437"/>
      <c r="D33" s="437"/>
      <c r="E33" s="437"/>
      <c r="F33" s="437"/>
      <c r="G33" s="437"/>
      <c r="H33" s="437"/>
      <c r="I33" s="437"/>
      <c r="J33" s="437"/>
      <c r="K33" s="437"/>
    </row>
    <row r="34" spans="1:11">
      <c r="A34" s="414" t="s">
        <v>206</v>
      </c>
      <c r="B34" s="414"/>
      <c r="C34" s="414"/>
      <c r="D34" s="414"/>
      <c r="E34" s="414"/>
      <c r="F34" s="414"/>
      <c r="G34" s="414"/>
      <c r="H34" s="414"/>
      <c r="I34" s="414"/>
      <c r="J34" s="414"/>
      <c r="K34" s="414"/>
    </row>
    <row r="35" spans="1:11" s="48" customFormat="1">
      <c r="A35" s="427" t="s">
        <v>128</v>
      </c>
      <c r="B35" s="427"/>
      <c r="C35" s="427"/>
      <c r="D35" s="427"/>
      <c r="E35" s="52"/>
      <c r="F35" s="53"/>
      <c r="G35" s="201"/>
      <c r="H35" s="214"/>
      <c r="I35" s="52"/>
      <c r="J35" s="53"/>
      <c r="K35" s="52"/>
    </row>
    <row r="36" spans="1:11" s="47" customFormat="1" ht="75.75" customHeight="1">
      <c r="A36" s="95" t="s">
        <v>129</v>
      </c>
      <c r="B36" s="403" t="s">
        <v>12</v>
      </c>
      <c r="C36" s="428"/>
      <c r="D36" s="95" t="s">
        <v>130</v>
      </c>
      <c r="E36" s="95" t="s">
        <v>131</v>
      </c>
      <c r="F36" s="429" t="s">
        <v>477</v>
      </c>
      <c r="G36" s="430"/>
      <c r="H36" s="215" t="s">
        <v>132</v>
      </c>
      <c r="I36" s="95" t="s">
        <v>133</v>
      </c>
      <c r="J36" s="96" t="s">
        <v>134</v>
      </c>
      <c r="K36" s="95" t="s">
        <v>6</v>
      </c>
    </row>
    <row r="37" spans="1:11" s="52" customFormat="1" ht="33" customHeight="1">
      <c r="A37" s="70">
        <v>1</v>
      </c>
      <c r="B37" s="431" t="s">
        <v>352</v>
      </c>
      <c r="C37" s="432"/>
      <c r="D37" s="65" t="s">
        <v>182</v>
      </c>
      <c r="E37" s="123">
        <f>F30</f>
        <v>403.7</v>
      </c>
      <c r="F37" s="392">
        <v>155000</v>
      </c>
      <c r="G37" s="393"/>
      <c r="H37" s="216"/>
      <c r="I37" s="67">
        <v>1</v>
      </c>
      <c r="J37" s="71">
        <f>E37*F37*I37</f>
        <v>62573500</v>
      </c>
      <c r="K37" s="70"/>
    </row>
    <row r="38" spans="1:11" s="128" customFormat="1" ht="36" customHeight="1">
      <c r="A38" s="405" t="s">
        <v>136</v>
      </c>
      <c r="B38" s="405"/>
      <c r="C38" s="405"/>
      <c r="D38" s="405"/>
      <c r="E38" s="124">
        <f>SUM(E37:E37)</f>
        <v>403.7</v>
      </c>
      <c r="F38" s="405"/>
      <c r="G38" s="405"/>
      <c r="H38" s="217"/>
      <c r="I38" s="125"/>
      <c r="J38" s="126">
        <f>SUM(J37:J37)</f>
        <v>62573500</v>
      </c>
      <c r="K38" s="127"/>
    </row>
    <row r="39" spans="1:11" s="47" customFormat="1">
      <c r="A39" s="448"/>
      <c r="B39" s="448"/>
      <c r="C39" s="448"/>
      <c r="D39" s="448"/>
      <c r="E39" s="448"/>
      <c r="F39" s="448"/>
      <c r="G39" s="448"/>
      <c r="H39" s="448"/>
      <c r="I39" s="448"/>
      <c r="J39" s="448"/>
      <c r="K39" s="448"/>
    </row>
    <row r="40" spans="1:11" s="129" customFormat="1" ht="39.75" customHeight="1">
      <c r="A40" s="407" t="s">
        <v>137</v>
      </c>
      <c r="B40" s="407"/>
      <c r="C40" s="407"/>
      <c r="D40" s="407"/>
      <c r="E40" s="407"/>
      <c r="F40" s="407"/>
      <c r="G40" s="407"/>
      <c r="H40" s="407"/>
      <c r="I40" s="407"/>
      <c r="J40" s="407"/>
      <c r="K40" s="407"/>
    </row>
    <row r="41" spans="1:11" s="130" customFormat="1" ht="62.25" customHeight="1">
      <c r="A41" s="95" t="s">
        <v>138</v>
      </c>
      <c r="B41" s="408" t="s">
        <v>139</v>
      </c>
      <c r="C41" s="409"/>
      <c r="D41" s="409"/>
      <c r="E41" s="409"/>
      <c r="F41" s="409"/>
      <c r="G41" s="409"/>
      <c r="H41" s="409"/>
      <c r="I41" s="409"/>
      <c r="J41" s="409"/>
      <c r="K41" s="410"/>
    </row>
    <row r="42" spans="1:11" ht="23.25" customHeight="1">
      <c r="A42" s="403" t="s">
        <v>129</v>
      </c>
      <c r="B42" s="403" t="s">
        <v>140</v>
      </c>
      <c r="C42" s="403" t="s">
        <v>141</v>
      </c>
      <c r="D42" s="403" t="s">
        <v>142</v>
      </c>
      <c r="E42" s="403"/>
      <c r="F42" s="403"/>
      <c r="G42" s="403" t="s">
        <v>143</v>
      </c>
      <c r="H42" s="330" t="s">
        <v>144</v>
      </c>
      <c r="I42" s="403" t="s">
        <v>133</v>
      </c>
      <c r="J42" s="404" t="s">
        <v>134</v>
      </c>
      <c r="K42" s="403" t="s">
        <v>6</v>
      </c>
    </row>
    <row r="43" spans="1:11" ht="36" customHeight="1">
      <c r="A43" s="403"/>
      <c r="B43" s="403"/>
      <c r="C43" s="403"/>
      <c r="D43" s="54" t="s">
        <v>145</v>
      </c>
      <c r="E43" s="54" t="s">
        <v>146</v>
      </c>
      <c r="F43" s="55" t="s">
        <v>165</v>
      </c>
      <c r="G43" s="403"/>
      <c r="H43" s="330"/>
      <c r="I43" s="403"/>
      <c r="J43" s="404"/>
      <c r="K43" s="403"/>
    </row>
    <row r="44" spans="1:11" s="69" customFormat="1" ht="19.5">
      <c r="A44" s="440" t="s">
        <v>147</v>
      </c>
      <c r="B44" s="440"/>
      <c r="C44" s="440"/>
      <c r="D44" s="131"/>
      <c r="E44" s="132"/>
      <c r="F44" s="133"/>
      <c r="G44" s="202"/>
      <c r="H44" s="218"/>
      <c r="I44" s="58"/>
      <c r="J44" s="134">
        <f ca="1">SUM(J44)</f>
        <v>0</v>
      </c>
      <c r="K44" s="135"/>
    </row>
    <row r="45" spans="1:11" s="69" customFormat="1" ht="44.25" customHeight="1">
      <c r="A45" s="95" t="s">
        <v>148</v>
      </c>
      <c r="B45" s="408" t="s">
        <v>351</v>
      </c>
      <c r="C45" s="409"/>
      <c r="D45" s="409"/>
      <c r="E45" s="409"/>
      <c r="F45" s="409"/>
      <c r="G45" s="409"/>
      <c r="H45" s="409"/>
      <c r="I45" s="409"/>
      <c r="J45" s="409"/>
      <c r="K45" s="410"/>
    </row>
    <row r="46" spans="1:11" s="69" customFormat="1" ht="61.5" customHeight="1">
      <c r="A46" s="56" t="s">
        <v>129</v>
      </c>
      <c r="B46" s="56" t="s">
        <v>149</v>
      </c>
      <c r="C46" s="56" t="s">
        <v>141</v>
      </c>
      <c r="D46" s="415" t="s">
        <v>150</v>
      </c>
      <c r="E46" s="416"/>
      <c r="F46" s="417"/>
      <c r="G46" s="57" t="s">
        <v>151</v>
      </c>
      <c r="H46" s="219" t="s">
        <v>144</v>
      </c>
      <c r="I46" s="58" t="s">
        <v>133</v>
      </c>
      <c r="J46" s="59" t="s">
        <v>134</v>
      </c>
      <c r="K46" s="56" t="s">
        <v>6</v>
      </c>
    </row>
    <row r="47" spans="1:11" s="195" customFormat="1" ht="39" customHeight="1">
      <c r="A47" s="400">
        <v>1</v>
      </c>
      <c r="B47" s="412" t="s">
        <v>260</v>
      </c>
      <c r="C47" s="400" t="s">
        <v>255</v>
      </c>
      <c r="D47" s="387" t="s">
        <v>286</v>
      </c>
      <c r="E47" s="388"/>
      <c r="F47" s="389"/>
      <c r="G47" s="194">
        <v>55</v>
      </c>
      <c r="H47" s="220">
        <v>7400</v>
      </c>
      <c r="I47" s="67">
        <v>0</v>
      </c>
      <c r="J47" s="136">
        <f>ROUND(G47*H47*I47,2)</f>
        <v>0</v>
      </c>
      <c r="K47" s="194"/>
    </row>
    <row r="48" spans="1:11" s="195" customFormat="1" ht="32.25" customHeight="1">
      <c r="A48" s="401"/>
      <c r="B48" s="444"/>
      <c r="C48" s="401"/>
      <c r="D48" s="387" t="s">
        <v>269</v>
      </c>
      <c r="E48" s="388"/>
      <c r="F48" s="389"/>
      <c r="G48" s="194">
        <v>230</v>
      </c>
      <c r="H48" s="220">
        <v>21000</v>
      </c>
      <c r="I48" s="67">
        <v>0</v>
      </c>
      <c r="J48" s="136">
        <f t="shared" ref="J48:J49" si="0">ROUND(G48*H48*I48,2)</f>
        <v>0</v>
      </c>
      <c r="K48" s="194"/>
    </row>
    <row r="49" spans="1:15" s="195" customFormat="1" ht="33.75" customHeight="1">
      <c r="A49" s="402"/>
      <c r="B49" s="413"/>
      <c r="C49" s="402"/>
      <c r="D49" s="387" t="s">
        <v>270</v>
      </c>
      <c r="E49" s="388"/>
      <c r="F49" s="389"/>
      <c r="G49" s="194">
        <v>35</v>
      </c>
      <c r="H49" s="220">
        <v>42000</v>
      </c>
      <c r="I49" s="67">
        <v>0</v>
      </c>
      <c r="J49" s="136">
        <f t="shared" si="0"/>
        <v>0</v>
      </c>
      <c r="K49" s="194"/>
    </row>
    <row r="50" spans="1:15" s="47" customFormat="1">
      <c r="A50" s="403" t="s">
        <v>147</v>
      </c>
      <c r="B50" s="403"/>
      <c r="C50" s="403"/>
      <c r="D50" s="403"/>
      <c r="E50" s="403"/>
      <c r="F50" s="403"/>
      <c r="G50" s="95"/>
      <c r="H50" s="217"/>
      <c r="I50" s="137"/>
      <c r="J50" s="138">
        <f>SUM(J47:J49)</f>
        <v>0</v>
      </c>
      <c r="K50" s="70"/>
    </row>
    <row r="51" spans="1:15" s="47" customFormat="1">
      <c r="A51" s="403" t="s">
        <v>152</v>
      </c>
      <c r="B51" s="403"/>
      <c r="C51" s="403"/>
      <c r="D51" s="403"/>
      <c r="E51" s="403"/>
      <c r="F51" s="403"/>
      <c r="G51" s="403"/>
      <c r="H51" s="403"/>
      <c r="I51" s="403"/>
      <c r="J51" s="138">
        <f>J50</f>
        <v>0</v>
      </c>
      <c r="K51" s="70"/>
    </row>
    <row r="52" spans="1:15" ht="24.95" customHeight="1">
      <c r="A52" s="414" t="s">
        <v>153</v>
      </c>
      <c r="B52" s="414"/>
      <c r="C52" s="414"/>
    </row>
    <row r="53" spans="1:15" ht="36" customHeight="1">
      <c r="A53" s="95" t="s">
        <v>129</v>
      </c>
      <c r="B53" s="415" t="s">
        <v>154</v>
      </c>
      <c r="C53" s="416"/>
      <c r="D53" s="416"/>
      <c r="E53" s="417"/>
      <c r="F53" s="95" t="s">
        <v>130</v>
      </c>
      <c r="G53" s="95" t="s">
        <v>151</v>
      </c>
      <c r="H53" s="222" t="s">
        <v>144</v>
      </c>
      <c r="I53" s="61" t="s">
        <v>155</v>
      </c>
      <c r="J53" s="96" t="s">
        <v>134</v>
      </c>
      <c r="K53" s="95" t="s">
        <v>6</v>
      </c>
    </row>
    <row r="54" spans="1:15" ht="99.75" customHeight="1">
      <c r="A54" s="70">
        <v>1</v>
      </c>
      <c r="B54" s="439" t="s">
        <v>156</v>
      </c>
      <c r="C54" s="439"/>
      <c r="D54" s="439"/>
      <c r="E54" s="439"/>
      <c r="F54" s="70" t="s">
        <v>182</v>
      </c>
      <c r="G54" s="139">
        <f>F30</f>
        <v>403.7</v>
      </c>
      <c r="H54" s="223">
        <f>155000*5</f>
        <v>775000</v>
      </c>
      <c r="I54" s="67">
        <v>1</v>
      </c>
      <c r="J54" s="136">
        <f t="shared" ref="J54" si="1">ROUND(G54*H54*I54,2)</f>
        <v>312867500</v>
      </c>
      <c r="K54" s="62" t="s">
        <v>157</v>
      </c>
    </row>
    <row r="55" spans="1:15" ht="117.75" customHeight="1">
      <c r="A55" s="70">
        <v>2</v>
      </c>
      <c r="B55" s="439" t="s">
        <v>369</v>
      </c>
      <c r="C55" s="439"/>
      <c r="D55" s="439"/>
      <c r="E55" s="439"/>
      <c r="F55" s="70" t="s">
        <v>158</v>
      </c>
      <c r="G55" s="441" t="s">
        <v>381</v>
      </c>
      <c r="H55" s="442"/>
      <c r="I55" s="443"/>
      <c r="J55" s="140">
        <f>H25*30*16000*2</f>
        <v>7680000</v>
      </c>
      <c r="K55" s="63" t="s">
        <v>371</v>
      </c>
    </row>
    <row r="56" spans="1:15" s="47" customFormat="1" ht="83.25" customHeight="1">
      <c r="A56" s="70">
        <v>3</v>
      </c>
      <c r="B56" s="439" t="s">
        <v>159</v>
      </c>
      <c r="C56" s="439"/>
      <c r="D56" s="439"/>
      <c r="E56" s="439"/>
      <c r="F56" s="70" t="s">
        <v>182</v>
      </c>
      <c r="G56" s="141">
        <f>F30</f>
        <v>403.7</v>
      </c>
      <c r="H56" s="223">
        <v>3000</v>
      </c>
      <c r="I56" s="67">
        <v>1</v>
      </c>
      <c r="J56" s="140">
        <f>IF(G56*H56*I56&gt;=3000000,3000000,G56*H56*I56)</f>
        <v>1211100</v>
      </c>
      <c r="K56" s="65"/>
    </row>
    <row r="57" spans="1:15" ht="36.75" customHeight="1">
      <c r="A57" s="403" t="s">
        <v>136</v>
      </c>
      <c r="B57" s="403"/>
      <c r="C57" s="403"/>
      <c r="D57" s="403"/>
      <c r="E57" s="403"/>
      <c r="F57" s="403"/>
      <c r="G57" s="403"/>
      <c r="H57" s="403"/>
      <c r="I57" s="403"/>
      <c r="J57" s="138">
        <f>SUM(J54:J56)</f>
        <v>321758600</v>
      </c>
      <c r="K57" s="66"/>
    </row>
    <row r="58" spans="1:15">
      <c r="A58" s="438" t="s">
        <v>160</v>
      </c>
      <c r="B58" s="438"/>
      <c r="C58" s="438"/>
      <c r="D58" s="438"/>
      <c r="E58" s="438"/>
      <c r="F58" s="438"/>
      <c r="G58" s="435">
        <f>J38+J51+J57</f>
        <v>384332100</v>
      </c>
      <c r="H58" s="435"/>
      <c r="I58" s="142" t="s">
        <v>161</v>
      </c>
      <c r="K58" s="128"/>
      <c r="N58" s="64">
        <f>ROUND(F30/F28%,2)</f>
        <v>16.510000000000002</v>
      </c>
      <c r="O58" s="143">
        <f>H25</f>
        <v>8</v>
      </c>
    </row>
    <row r="59" spans="1:15" ht="32.25" customHeight="1">
      <c r="B59" s="105" t="s">
        <v>178</v>
      </c>
      <c r="C59" s="436" t="str">
        <f>[1]!VND(G58)</f>
        <v>Ba trăm tám mươi bốn triệu, ba trăm ba mươi hai nghìn, một trăm đồng chẵn.</v>
      </c>
      <c r="D59" s="436"/>
      <c r="E59" s="436"/>
      <c r="F59" s="436"/>
      <c r="G59" s="436"/>
      <c r="H59" s="436"/>
      <c r="I59" s="436"/>
      <c r="J59" s="436"/>
      <c r="K59" s="436"/>
    </row>
    <row r="60" spans="1:15" s="128" customFormat="1">
      <c r="A60" s="47"/>
      <c r="B60" s="49"/>
      <c r="C60" s="49"/>
      <c r="D60" s="49"/>
      <c r="E60" s="49"/>
      <c r="F60" s="60"/>
      <c r="G60" s="203"/>
      <c r="H60" s="221"/>
      <c r="I60" s="49"/>
      <c r="J60" s="60"/>
      <c r="K60" s="49"/>
    </row>
    <row r="61" spans="1:15" s="128" customFormat="1">
      <c r="A61" s="47"/>
      <c r="B61" s="49"/>
      <c r="C61" s="49"/>
      <c r="D61" s="49"/>
      <c r="E61" s="49"/>
      <c r="F61" s="60"/>
      <c r="G61" s="203"/>
      <c r="H61" s="221"/>
      <c r="I61" s="49"/>
      <c r="J61" s="60"/>
      <c r="K61" s="49"/>
    </row>
  </sheetData>
  <mergeCells count="81">
    <mergeCell ref="A16:K16"/>
    <mergeCell ref="A17:K17"/>
    <mergeCell ref="G55:I55"/>
    <mergeCell ref="A57:I57"/>
    <mergeCell ref="A58:F58"/>
    <mergeCell ref="G58:H58"/>
    <mergeCell ref="A44:C44"/>
    <mergeCell ref="B45:K45"/>
    <mergeCell ref="D46:F46"/>
    <mergeCell ref="B41:K41"/>
    <mergeCell ref="A42:A43"/>
    <mergeCell ref="B42:B43"/>
    <mergeCell ref="C42:C43"/>
    <mergeCell ref="D42:F42"/>
    <mergeCell ref="G42:G43"/>
    <mergeCell ref="H42:H43"/>
    <mergeCell ref="C59:K59"/>
    <mergeCell ref="A47:A49"/>
    <mergeCell ref="B47:B49"/>
    <mergeCell ref="C47:C49"/>
    <mergeCell ref="A52:C52"/>
    <mergeCell ref="B53:E53"/>
    <mergeCell ref="B54:E54"/>
    <mergeCell ref="B55:E55"/>
    <mergeCell ref="B56:E56"/>
    <mergeCell ref="D49:F49"/>
    <mergeCell ref="A50:C50"/>
    <mergeCell ref="D50:F50"/>
    <mergeCell ref="A51:I51"/>
    <mergeCell ref="D47:F47"/>
    <mergeCell ref="D48:F48"/>
    <mergeCell ref="I42:I43"/>
    <mergeCell ref="J42:J43"/>
    <mergeCell ref="K42:K43"/>
    <mergeCell ref="A40:K40"/>
    <mergeCell ref="B31:D31"/>
    <mergeCell ref="A33:K33"/>
    <mergeCell ref="A34:K34"/>
    <mergeCell ref="A35:D35"/>
    <mergeCell ref="B36:C36"/>
    <mergeCell ref="F36:G36"/>
    <mergeCell ref="B37:C37"/>
    <mergeCell ref="F37:G37"/>
    <mergeCell ref="A38:D38"/>
    <mergeCell ref="F38:G38"/>
    <mergeCell ref="A39:K39"/>
    <mergeCell ref="A32:K32"/>
    <mergeCell ref="A27:K27"/>
    <mergeCell ref="A28:E28"/>
    <mergeCell ref="A29:E29"/>
    <mergeCell ref="H29:I29"/>
    <mergeCell ref="B30:D30"/>
    <mergeCell ref="H30:K30"/>
    <mergeCell ref="A26:F26"/>
    <mergeCell ref="A18:K18"/>
    <mergeCell ref="A19:H19"/>
    <mergeCell ref="A20:K20"/>
    <mergeCell ref="A21:K21"/>
    <mergeCell ref="A22:E22"/>
    <mergeCell ref="F22:H22"/>
    <mergeCell ref="A23:G23"/>
    <mergeCell ref="H23:I23"/>
    <mergeCell ref="A24:K24"/>
    <mergeCell ref="A25:G25"/>
    <mergeCell ref="I25:J25"/>
    <mergeCell ref="A1:D1"/>
    <mergeCell ref="E1:K1"/>
    <mergeCell ref="A2:D2"/>
    <mergeCell ref="E2:K2"/>
    <mergeCell ref="A4:D4"/>
    <mergeCell ref="H4:K4"/>
    <mergeCell ref="A11:K11"/>
    <mergeCell ref="A12:K12"/>
    <mergeCell ref="A13:K13"/>
    <mergeCell ref="A15:K15"/>
    <mergeCell ref="A5:D5"/>
    <mergeCell ref="B6:K6"/>
    <mergeCell ref="A7:K7"/>
    <mergeCell ref="A8:K8"/>
    <mergeCell ref="A10:K10"/>
    <mergeCell ref="A14:K14"/>
  </mergeCells>
  <printOptions horizontalCentered="1"/>
  <pageMargins left="0.27559055118110237" right="7.874015748031496E-2" top="0.39370078740157483" bottom="0.15748031496062992" header="0.19685039370078741" footer="0.15748031496062992"/>
  <pageSetup paperSize="9" scale="6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4"/>
  <sheetViews>
    <sheetView view="pageBreakPreview" zoomScale="80" zoomScaleNormal="100" zoomScaleSheetLayoutView="80" workbookViewId="0">
      <selection activeCell="A12" sqref="A12:K12"/>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60" customWidth="1"/>
    <col min="7" max="7" width="9.75" style="203" customWidth="1"/>
    <col min="8" max="8" width="13.375" style="221" bestFit="1" customWidth="1"/>
    <col min="9" max="9" width="9.375" style="49" customWidth="1"/>
    <col min="10" max="10" width="17.625" style="60" customWidth="1"/>
    <col min="11" max="11" width="12.625" style="49" customWidth="1"/>
    <col min="12" max="12" width="8.125" style="49" customWidth="1"/>
    <col min="13" max="13" width="15.375" style="49" customWidth="1"/>
    <col min="14" max="14" width="9.75" style="49" customWidth="1"/>
    <col min="15" max="16" width="9" style="49" customWidth="1"/>
    <col min="17"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46"/>
      <c r="G3" s="46"/>
      <c r="H3" s="207"/>
      <c r="I3" s="46"/>
      <c r="J3" s="46"/>
      <c r="K3" s="46"/>
    </row>
    <row r="4" spans="1:26" ht="16.5" customHeight="1">
      <c r="A4" s="420" t="s">
        <v>297</v>
      </c>
      <c r="B4" s="420"/>
      <c r="C4" s="420"/>
      <c r="D4" s="420"/>
      <c r="E4" s="107"/>
      <c r="F4" s="108"/>
      <c r="G4" s="198"/>
      <c r="H4" s="421"/>
      <c r="I4" s="421"/>
      <c r="J4" s="421"/>
      <c r="K4" s="421"/>
      <c r="L4" s="109"/>
      <c r="M4" s="109"/>
      <c r="N4" s="109"/>
      <c r="O4" s="109"/>
      <c r="P4" s="109"/>
      <c r="Q4" s="109"/>
      <c r="R4" s="109"/>
      <c r="S4" s="109"/>
      <c r="T4" s="107"/>
      <c r="U4" s="107"/>
      <c r="V4" s="107"/>
      <c r="W4" s="107"/>
      <c r="X4" s="107"/>
      <c r="Y4" s="107"/>
      <c r="Z4" s="110"/>
    </row>
    <row r="5" spans="1:26" ht="10.5" customHeight="1">
      <c r="A5" s="423"/>
      <c r="B5" s="423"/>
      <c r="C5" s="423"/>
      <c r="D5" s="423"/>
      <c r="E5" s="107"/>
      <c r="F5" s="108"/>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243</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94"/>
      <c r="G9" s="94"/>
      <c r="H9" s="209"/>
      <c r="I9" s="94"/>
      <c r="J9" s="94"/>
      <c r="K9" s="94"/>
    </row>
    <row r="10" spans="1:26">
      <c r="A10" s="424" t="s">
        <v>118</v>
      </c>
      <c r="B10" s="424"/>
      <c r="C10" s="424"/>
      <c r="D10" s="424"/>
      <c r="E10" s="424"/>
      <c r="F10" s="424"/>
      <c r="G10" s="424"/>
      <c r="H10" s="424"/>
      <c r="I10" s="424"/>
      <c r="J10" s="424"/>
      <c r="K10" s="424"/>
    </row>
    <row r="11" spans="1:26" ht="77.25" customHeight="1">
      <c r="A11" s="450" t="s">
        <v>364</v>
      </c>
      <c r="B11" s="451"/>
      <c r="C11" s="451"/>
      <c r="D11" s="451"/>
      <c r="E11" s="451"/>
      <c r="F11" s="451"/>
      <c r="G11" s="451"/>
      <c r="H11" s="451"/>
      <c r="I11" s="451"/>
      <c r="J11" s="451"/>
      <c r="K11" s="451"/>
    </row>
    <row r="12" spans="1:26" ht="96.75" customHeight="1">
      <c r="A12" s="451" t="s">
        <v>363</v>
      </c>
      <c r="B12" s="451"/>
      <c r="C12" s="451"/>
      <c r="D12" s="451"/>
      <c r="E12" s="451"/>
      <c r="F12" s="451"/>
      <c r="G12" s="451"/>
      <c r="H12" s="451"/>
      <c r="I12" s="451"/>
      <c r="J12" s="451"/>
      <c r="K12" s="451"/>
    </row>
    <row r="13" spans="1:26" ht="96.75" customHeight="1">
      <c r="A13" s="451" t="s">
        <v>362</v>
      </c>
      <c r="B13" s="451"/>
      <c r="C13" s="451"/>
      <c r="D13" s="451"/>
      <c r="E13" s="451"/>
      <c r="F13" s="451"/>
      <c r="G13" s="451"/>
      <c r="H13" s="451"/>
      <c r="I13" s="451"/>
      <c r="J13" s="451"/>
      <c r="K13" s="451"/>
    </row>
    <row r="14" spans="1:26" ht="57.75" customHeight="1">
      <c r="A14" s="433" t="s">
        <v>478</v>
      </c>
      <c r="B14" s="434"/>
      <c r="C14" s="434"/>
      <c r="D14" s="434"/>
      <c r="E14" s="434"/>
      <c r="F14" s="434"/>
      <c r="G14" s="434"/>
      <c r="H14" s="434"/>
      <c r="I14" s="434"/>
      <c r="J14" s="434"/>
      <c r="K14" s="434"/>
    </row>
    <row r="15" spans="1:26" ht="60" customHeight="1">
      <c r="A15" s="451" t="s">
        <v>361</v>
      </c>
      <c r="B15" s="451"/>
      <c r="C15" s="451"/>
      <c r="D15" s="451"/>
      <c r="E15" s="451"/>
      <c r="F15" s="451"/>
      <c r="G15" s="451"/>
      <c r="H15" s="451"/>
      <c r="I15" s="451"/>
      <c r="J15" s="451"/>
      <c r="K15" s="451"/>
    </row>
    <row r="16" spans="1:26" ht="39" customHeight="1">
      <c r="A16" s="451" t="s">
        <v>360</v>
      </c>
      <c r="B16" s="451"/>
      <c r="C16" s="451"/>
      <c r="D16" s="451"/>
      <c r="E16" s="451"/>
      <c r="F16" s="451"/>
      <c r="G16" s="451"/>
      <c r="H16" s="451"/>
      <c r="I16" s="451"/>
      <c r="J16" s="451"/>
      <c r="K16" s="451"/>
    </row>
    <row r="17" spans="1:16" ht="39" customHeight="1">
      <c r="A17" s="451" t="s">
        <v>365</v>
      </c>
      <c r="B17" s="451"/>
      <c r="C17" s="451"/>
      <c r="D17" s="451"/>
      <c r="E17" s="451"/>
      <c r="F17" s="451"/>
      <c r="G17" s="451"/>
      <c r="H17" s="451"/>
      <c r="I17" s="451"/>
      <c r="J17" s="451"/>
      <c r="K17" s="451"/>
    </row>
    <row r="18" spans="1:16" ht="114" customHeight="1">
      <c r="A18" s="451" t="s">
        <v>380</v>
      </c>
      <c r="B18" s="451"/>
      <c r="C18" s="451"/>
      <c r="D18" s="451"/>
      <c r="E18" s="451"/>
      <c r="F18" s="451"/>
      <c r="G18" s="451"/>
      <c r="H18" s="451"/>
      <c r="I18" s="451"/>
      <c r="J18" s="451"/>
      <c r="K18" s="451"/>
    </row>
    <row r="19" spans="1:16">
      <c r="A19" s="414" t="s">
        <v>205</v>
      </c>
      <c r="B19" s="414"/>
      <c r="C19" s="414"/>
      <c r="D19" s="414"/>
      <c r="E19" s="414"/>
      <c r="F19" s="414"/>
      <c r="G19" s="414"/>
      <c r="H19" s="414"/>
      <c r="I19" s="48"/>
      <c r="J19" s="48"/>
      <c r="K19" s="48"/>
    </row>
    <row r="20" spans="1:16">
      <c r="A20" s="414" t="s">
        <v>314</v>
      </c>
      <c r="B20" s="414"/>
      <c r="C20" s="414"/>
      <c r="D20" s="414"/>
      <c r="E20" s="414"/>
      <c r="F20" s="414"/>
      <c r="G20" s="414"/>
      <c r="H20" s="414"/>
      <c r="I20" s="414"/>
      <c r="J20" s="414"/>
      <c r="K20" s="414"/>
    </row>
    <row r="21" spans="1:16">
      <c r="A21" s="414" t="s">
        <v>315</v>
      </c>
      <c r="B21" s="414"/>
      <c r="C21" s="414"/>
      <c r="D21" s="414"/>
      <c r="E21" s="414"/>
      <c r="F21" s="414"/>
      <c r="G21" s="414"/>
      <c r="H21" s="414"/>
      <c r="I21" s="414"/>
      <c r="J21" s="414"/>
      <c r="K21" s="414"/>
    </row>
    <row r="22" spans="1:16" ht="21" customHeight="1">
      <c r="A22" s="395" t="s">
        <v>316</v>
      </c>
      <c r="B22" s="395"/>
      <c r="C22" s="395"/>
      <c r="D22" s="395"/>
      <c r="E22" s="395"/>
      <c r="F22" s="395" t="s">
        <v>317</v>
      </c>
      <c r="G22" s="395"/>
      <c r="H22" s="395"/>
      <c r="I22" s="50"/>
      <c r="J22" s="50"/>
      <c r="K22" s="50"/>
    </row>
    <row r="23" spans="1:16" ht="20.25" customHeight="1">
      <c r="A23" s="395" t="s">
        <v>302</v>
      </c>
      <c r="B23" s="395"/>
      <c r="C23" s="395"/>
      <c r="D23" s="395"/>
      <c r="E23" s="395"/>
      <c r="F23" s="395"/>
      <c r="G23" s="395"/>
      <c r="H23" s="422" t="s">
        <v>119</v>
      </c>
      <c r="I23" s="422"/>
      <c r="J23" s="112" t="s">
        <v>232</v>
      </c>
      <c r="K23" s="50"/>
    </row>
    <row r="24" spans="1:16" ht="20.25" customHeight="1">
      <c r="A24" s="395" t="s">
        <v>303</v>
      </c>
      <c r="B24" s="395"/>
      <c r="C24" s="395"/>
      <c r="D24" s="395"/>
      <c r="E24" s="395"/>
      <c r="F24" s="395"/>
      <c r="G24" s="395"/>
      <c r="H24" s="395"/>
      <c r="I24" s="395"/>
      <c r="J24" s="395"/>
      <c r="K24" s="395"/>
    </row>
    <row r="25" spans="1:16" ht="20.25" customHeight="1">
      <c r="A25" s="395" t="s">
        <v>120</v>
      </c>
      <c r="B25" s="395"/>
      <c r="C25" s="395"/>
      <c r="D25" s="395"/>
      <c r="E25" s="395"/>
      <c r="F25" s="395"/>
      <c r="G25" s="395"/>
      <c r="H25" s="210">
        <v>6</v>
      </c>
      <c r="I25" s="395" t="s">
        <v>121</v>
      </c>
      <c r="J25" s="395"/>
      <c r="K25" s="50"/>
      <c r="L25" s="48"/>
      <c r="M25" s="48"/>
      <c r="O25" s="48"/>
      <c r="P25" s="48"/>
    </row>
    <row r="26" spans="1:16">
      <c r="A26" s="414" t="s">
        <v>122</v>
      </c>
      <c r="B26" s="414"/>
      <c r="C26" s="414"/>
      <c r="D26" s="414"/>
      <c r="E26" s="414"/>
      <c r="F26" s="414"/>
      <c r="G26" s="199"/>
      <c r="H26" s="211"/>
      <c r="I26" s="51"/>
      <c r="J26" s="51"/>
      <c r="K26" s="51"/>
    </row>
    <row r="27" spans="1:16" ht="38.25" customHeight="1">
      <c r="A27" s="394" t="s">
        <v>357</v>
      </c>
      <c r="B27" s="394"/>
      <c r="C27" s="394"/>
      <c r="D27" s="394"/>
      <c r="E27" s="394"/>
      <c r="F27" s="394"/>
      <c r="G27" s="394"/>
      <c r="H27" s="394"/>
      <c r="I27" s="394"/>
      <c r="J27" s="394"/>
      <c r="K27" s="394"/>
    </row>
    <row r="28" spans="1:16" s="269" customFormat="1" ht="42" customHeight="1">
      <c r="A28" s="426" t="s">
        <v>123</v>
      </c>
      <c r="B28" s="426"/>
      <c r="C28" s="426"/>
      <c r="D28" s="426"/>
      <c r="E28" s="426"/>
      <c r="F28" s="113">
        <v>2235</v>
      </c>
      <c r="G28" s="200" t="s">
        <v>179</v>
      </c>
      <c r="H28" s="268"/>
      <c r="I28" s="266"/>
      <c r="J28" s="266"/>
      <c r="K28" s="266"/>
    </row>
    <row r="29" spans="1:16" s="269" customFormat="1" ht="42" customHeight="1">
      <c r="A29" s="426" t="s">
        <v>340</v>
      </c>
      <c r="B29" s="426"/>
      <c r="C29" s="426"/>
      <c r="D29" s="426"/>
      <c r="E29" s="426"/>
      <c r="F29" s="113">
        <v>288</v>
      </c>
      <c r="G29" s="200" t="s">
        <v>182</v>
      </c>
      <c r="H29" s="268"/>
      <c r="I29" s="266"/>
      <c r="J29" s="266"/>
      <c r="K29" s="266"/>
    </row>
    <row r="30" spans="1:16" ht="22.5">
      <c r="A30" s="395" t="s">
        <v>124</v>
      </c>
      <c r="B30" s="395"/>
      <c r="C30" s="395"/>
      <c r="D30" s="395"/>
      <c r="E30" s="395"/>
      <c r="F30" s="116">
        <v>551</v>
      </c>
      <c r="G30" s="190" t="s">
        <v>180</v>
      </c>
      <c r="H30" s="396" t="s">
        <v>125</v>
      </c>
      <c r="I30" s="396"/>
      <c r="J30" s="50"/>
      <c r="K30" s="50"/>
    </row>
    <row r="31" spans="1:16" s="271" customFormat="1" ht="40.5" customHeight="1">
      <c r="A31" s="117"/>
      <c r="B31" s="399" t="s">
        <v>126</v>
      </c>
      <c r="C31" s="399"/>
      <c r="D31" s="399"/>
      <c r="E31" s="270"/>
      <c r="F31" s="119">
        <v>396.1</v>
      </c>
      <c r="G31" s="190" t="s">
        <v>181</v>
      </c>
      <c r="H31" s="397" t="str">
        <f>"(Chiếm "&amp;N61&amp;"% Tổng diện tích đất nông nghiệp được giao đang sử dụng)"</f>
        <v>(Chiếm 20,34% Tổng diện tích đất nông nghiệp được giao đang sử dụng)</v>
      </c>
      <c r="I31" s="397"/>
      <c r="J31" s="397"/>
      <c r="K31" s="397"/>
    </row>
    <row r="32" spans="1:16" s="271" customFormat="1" ht="22.5">
      <c r="A32" s="117"/>
      <c r="B32" s="399" t="s">
        <v>127</v>
      </c>
      <c r="C32" s="399"/>
      <c r="D32" s="399"/>
      <c r="E32" s="121"/>
      <c r="F32" s="119">
        <f>F30-F31</f>
        <v>154.89999999999998</v>
      </c>
      <c r="G32" s="190" t="s">
        <v>181</v>
      </c>
      <c r="H32" s="272"/>
      <c r="I32" s="273"/>
      <c r="J32" s="273"/>
      <c r="K32" s="273"/>
    </row>
    <row r="33" spans="1:11" ht="61.5" customHeight="1">
      <c r="A33" s="453" t="s">
        <v>366</v>
      </c>
      <c r="B33" s="453"/>
      <c r="C33" s="453"/>
      <c r="D33" s="453"/>
      <c r="E33" s="453"/>
      <c r="F33" s="453"/>
      <c r="G33" s="453"/>
      <c r="H33" s="453"/>
      <c r="I33" s="453"/>
      <c r="J33" s="453"/>
      <c r="K33" s="453"/>
    </row>
    <row r="34" spans="1:11" ht="43.5" customHeight="1">
      <c r="A34" s="453" t="s">
        <v>367</v>
      </c>
      <c r="B34" s="453"/>
      <c r="C34" s="453"/>
      <c r="D34" s="453"/>
      <c r="E34" s="453"/>
      <c r="F34" s="453"/>
      <c r="G34" s="453"/>
      <c r="H34" s="453"/>
      <c r="I34" s="453"/>
      <c r="J34" s="453"/>
      <c r="K34" s="453"/>
    </row>
    <row r="35" spans="1:11" ht="66" customHeight="1">
      <c r="A35" s="452" t="s">
        <v>368</v>
      </c>
      <c r="B35" s="453"/>
      <c r="C35" s="453"/>
      <c r="D35" s="453"/>
      <c r="E35" s="453"/>
      <c r="F35" s="453"/>
      <c r="G35" s="453"/>
      <c r="H35" s="453"/>
      <c r="I35" s="453"/>
      <c r="J35" s="453"/>
      <c r="K35" s="453"/>
    </row>
    <row r="36" spans="1:11">
      <c r="A36" s="414" t="s">
        <v>206</v>
      </c>
      <c r="B36" s="414"/>
      <c r="C36" s="414"/>
      <c r="D36" s="414"/>
      <c r="E36" s="414"/>
      <c r="F36" s="414"/>
      <c r="G36" s="414"/>
      <c r="H36" s="414"/>
      <c r="I36" s="414"/>
      <c r="J36" s="414"/>
      <c r="K36" s="414"/>
    </row>
    <row r="37" spans="1:11" s="48" customFormat="1">
      <c r="A37" s="427" t="s">
        <v>128</v>
      </c>
      <c r="B37" s="427"/>
      <c r="C37" s="427"/>
      <c r="D37" s="427"/>
      <c r="E37" s="52"/>
      <c r="F37" s="53"/>
      <c r="G37" s="201"/>
      <c r="H37" s="214"/>
      <c r="I37" s="52"/>
      <c r="J37" s="53"/>
      <c r="K37" s="52"/>
    </row>
    <row r="38" spans="1:11" s="47" customFormat="1" ht="75.75" customHeight="1">
      <c r="A38" s="95" t="s">
        <v>129</v>
      </c>
      <c r="B38" s="403" t="s">
        <v>12</v>
      </c>
      <c r="C38" s="428"/>
      <c r="D38" s="95" t="s">
        <v>130</v>
      </c>
      <c r="E38" s="95" t="s">
        <v>131</v>
      </c>
      <c r="F38" s="429" t="s">
        <v>477</v>
      </c>
      <c r="G38" s="430"/>
      <c r="H38" s="215" t="s">
        <v>132</v>
      </c>
      <c r="I38" s="95" t="s">
        <v>133</v>
      </c>
      <c r="J38" s="96" t="s">
        <v>134</v>
      </c>
      <c r="K38" s="95" t="s">
        <v>6</v>
      </c>
    </row>
    <row r="39" spans="1:11" s="52" customFormat="1" ht="33" customHeight="1">
      <c r="A39" s="70">
        <v>1</v>
      </c>
      <c r="B39" s="431" t="s">
        <v>352</v>
      </c>
      <c r="C39" s="432"/>
      <c r="D39" s="65" t="s">
        <v>182</v>
      </c>
      <c r="E39" s="123">
        <f>F31</f>
        <v>396.1</v>
      </c>
      <c r="F39" s="392">
        <v>155000</v>
      </c>
      <c r="G39" s="393"/>
      <c r="H39" s="216"/>
      <c r="I39" s="67">
        <v>1</v>
      </c>
      <c r="J39" s="71">
        <f>E39*F39*I39</f>
        <v>61395500</v>
      </c>
      <c r="K39" s="70"/>
    </row>
    <row r="40" spans="1:11" s="128" customFormat="1" ht="36" customHeight="1">
      <c r="A40" s="405" t="s">
        <v>136</v>
      </c>
      <c r="B40" s="405"/>
      <c r="C40" s="405"/>
      <c r="D40" s="405"/>
      <c r="E40" s="124">
        <f>SUM(E39:E39)</f>
        <v>396.1</v>
      </c>
      <c r="F40" s="405"/>
      <c r="G40" s="405"/>
      <c r="H40" s="217"/>
      <c r="I40" s="125"/>
      <c r="J40" s="126">
        <f>SUM(J39:J39)</f>
        <v>61395500</v>
      </c>
      <c r="K40" s="127"/>
    </row>
    <row r="41" spans="1:11" s="47" customFormat="1">
      <c r="A41" s="454"/>
      <c r="B41" s="454"/>
      <c r="C41" s="454"/>
      <c r="D41" s="454"/>
      <c r="E41" s="454"/>
      <c r="F41" s="454"/>
      <c r="G41" s="454"/>
      <c r="H41" s="454"/>
      <c r="I41" s="454"/>
      <c r="J41" s="454"/>
      <c r="K41" s="454"/>
    </row>
    <row r="42" spans="1:11" s="274" customFormat="1" ht="39.75" customHeight="1">
      <c r="A42" s="407" t="s">
        <v>137</v>
      </c>
      <c r="B42" s="407"/>
      <c r="C42" s="407"/>
      <c r="D42" s="407"/>
      <c r="E42" s="407"/>
      <c r="F42" s="407"/>
      <c r="G42" s="407"/>
      <c r="H42" s="407"/>
      <c r="I42" s="407"/>
      <c r="J42" s="407"/>
      <c r="K42" s="407"/>
    </row>
    <row r="43" spans="1:11" s="48" customFormat="1" ht="62.25" customHeight="1">
      <c r="A43" s="95" t="s">
        <v>138</v>
      </c>
      <c r="B43" s="408" t="s">
        <v>139</v>
      </c>
      <c r="C43" s="409"/>
      <c r="D43" s="409"/>
      <c r="E43" s="409"/>
      <c r="F43" s="409"/>
      <c r="G43" s="409"/>
      <c r="H43" s="409"/>
      <c r="I43" s="409"/>
      <c r="J43" s="409"/>
      <c r="K43" s="410"/>
    </row>
    <row r="44" spans="1:11" ht="23.25" customHeight="1">
      <c r="A44" s="403" t="s">
        <v>129</v>
      </c>
      <c r="B44" s="403" t="s">
        <v>140</v>
      </c>
      <c r="C44" s="403" t="s">
        <v>141</v>
      </c>
      <c r="D44" s="403" t="s">
        <v>142</v>
      </c>
      <c r="E44" s="403"/>
      <c r="F44" s="403"/>
      <c r="G44" s="403" t="s">
        <v>143</v>
      </c>
      <c r="H44" s="330" t="s">
        <v>144</v>
      </c>
      <c r="I44" s="403" t="s">
        <v>133</v>
      </c>
      <c r="J44" s="404" t="s">
        <v>134</v>
      </c>
      <c r="K44" s="403" t="s">
        <v>6</v>
      </c>
    </row>
    <row r="45" spans="1:11" ht="36" customHeight="1">
      <c r="A45" s="403"/>
      <c r="B45" s="403"/>
      <c r="C45" s="403"/>
      <c r="D45" s="54" t="s">
        <v>145</v>
      </c>
      <c r="E45" s="54" t="s">
        <v>146</v>
      </c>
      <c r="F45" s="55" t="s">
        <v>165</v>
      </c>
      <c r="G45" s="403"/>
      <c r="H45" s="330"/>
      <c r="I45" s="403"/>
      <c r="J45" s="404"/>
      <c r="K45" s="403"/>
    </row>
    <row r="46" spans="1:11" s="275" customFormat="1" ht="19.5">
      <c r="A46" s="440" t="s">
        <v>147</v>
      </c>
      <c r="B46" s="440"/>
      <c r="C46" s="440"/>
      <c r="D46" s="131"/>
      <c r="E46" s="132"/>
      <c r="F46" s="133"/>
      <c r="G46" s="202"/>
      <c r="H46" s="218"/>
      <c r="I46" s="58"/>
      <c r="J46" s="134">
        <f ca="1">SUM(J46)</f>
        <v>0</v>
      </c>
      <c r="K46" s="135"/>
    </row>
    <row r="47" spans="1:11" s="275" customFormat="1" ht="44.25" customHeight="1">
      <c r="A47" s="95" t="s">
        <v>148</v>
      </c>
      <c r="B47" s="408" t="s">
        <v>351</v>
      </c>
      <c r="C47" s="409"/>
      <c r="D47" s="409"/>
      <c r="E47" s="409"/>
      <c r="F47" s="409"/>
      <c r="G47" s="409"/>
      <c r="H47" s="409"/>
      <c r="I47" s="409"/>
      <c r="J47" s="409"/>
      <c r="K47" s="410"/>
    </row>
    <row r="48" spans="1:11" s="275" customFormat="1" ht="61.5" customHeight="1">
      <c r="A48" s="56" t="s">
        <v>129</v>
      </c>
      <c r="B48" s="56" t="s">
        <v>149</v>
      </c>
      <c r="C48" s="56" t="s">
        <v>141</v>
      </c>
      <c r="D48" s="415" t="s">
        <v>150</v>
      </c>
      <c r="E48" s="416"/>
      <c r="F48" s="417"/>
      <c r="G48" s="57" t="s">
        <v>151</v>
      </c>
      <c r="H48" s="219" t="s">
        <v>144</v>
      </c>
      <c r="I48" s="58" t="s">
        <v>133</v>
      </c>
      <c r="J48" s="59" t="s">
        <v>134</v>
      </c>
      <c r="K48" s="56" t="s">
        <v>6</v>
      </c>
    </row>
    <row r="49" spans="1:15" s="128" customFormat="1" ht="39" customHeight="1">
      <c r="A49" s="400">
        <v>1</v>
      </c>
      <c r="B49" s="412" t="s">
        <v>260</v>
      </c>
      <c r="C49" s="400" t="s">
        <v>255</v>
      </c>
      <c r="D49" s="387" t="s">
        <v>286</v>
      </c>
      <c r="E49" s="388"/>
      <c r="F49" s="389"/>
      <c r="G49" s="194">
        <v>106</v>
      </c>
      <c r="H49" s="220">
        <v>7400</v>
      </c>
      <c r="I49" s="67">
        <v>0</v>
      </c>
      <c r="J49" s="136">
        <f>ROUND(G49*H49*I49,2)</f>
        <v>0</v>
      </c>
      <c r="K49" s="194"/>
    </row>
    <row r="50" spans="1:15" s="128" customFormat="1" ht="32.25" customHeight="1">
      <c r="A50" s="401"/>
      <c r="B50" s="444"/>
      <c r="C50" s="401"/>
      <c r="D50" s="387" t="s">
        <v>269</v>
      </c>
      <c r="E50" s="388"/>
      <c r="F50" s="389"/>
      <c r="G50" s="194">
        <v>250</v>
      </c>
      <c r="H50" s="220">
        <v>21000</v>
      </c>
      <c r="I50" s="67">
        <v>0</v>
      </c>
      <c r="J50" s="136">
        <f t="shared" ref="J50:J52" si="0">ROUND(G50*H50*I50,2)</f>
        <v>0</v>
      </c>
      <c r="K50" s="194"/>
    </row>
    <row r="51" spans="1:15" s="128" customFormat="1" ht="33.75" customHeight="1">
      <c r="A51" s="402"/>
      <c r="B51" s="413"/>
      <c r="C51" s="402"/>
      <c r="D51" s="387" t="s">
        <v>270</v>
      </c>
      <c r="E51" s="388"/>
      <c r="F51" s="389"/>
      <c r="G51" s="194">
        <v>26</v>
      </c>
      <c r="H51" s="220">
        <v>42000</v>
      </c>
      <c r="I51" s="67">
        <v>0</v>
      </c>
      <c r="J51" s="136">
        <f t="shared" si="0"/>
        <v>0</v>
      </c>
      <c r="K51" s="194"/>
    </row>
    <row r="52" spans="1:15" s="128" customFormat="1" ht="33.75" customHeight="1">
      <c r="A52" s="205">
        <v>2</v>
      </c>
      <c r="B52" s="267" t="s">
        <v>257</v>
      </c>
      <c r="C52" s="205" t="s">
        <v>255</v>
      </c>
      <c r="D52" s="387" t="s">
        <v>265</v>
      </c>
      <c r="E52" s="388"/>
      <c r="F52" s="389"/>
      <c r="G52" s="194">
        <v>1</v>
      </c>
      <c r="H52" s="220">
        <v>126000</v>
      </c>
      <c r="I52" s="67">
        <v>0</v>
      </c>
      <c r="J52" s="136">
        <f t="shared" si="0"/>
        <v>0</v>
      </c>
      <c r="K52" s="194"/>
    </row>
    <row r="53" spans="1:15" s="47" customFormat="1">
      <c r="A53" s="403" t="s">
        <v>147</v>
      </c>
      <c r="B53" s="403"/>
      <c r="C53" s="403"/>
      <c r="D53" s="403"/>
      <c r="E53" s="403"/>
      <c r="F53" s="403"/>
      <c r="G53" s="95"/>
      <c r="H53" s="217"/>
      <c r="I53" s="137"/>
      <c r="J53" s="138">
        <f>SUM(J49:J52)</f>
        <v>0</v>
      </c>
      <c r="K53" s="70"/>
    </row>
    <row r="54" spans="1:15" s="47" customFormat="1">
      <c r="A54" s="403" t="s">
        <v>152</v>
      </c>
      <c r="B54" s="403"/>
      <c r="C54" s="403"/>
      <c r="D54" s="403"/>
      <c r="E54" s="403"/>
      <c r="F54" s="403"/>
      <c r="G54" s="403"/>
      <c r="H54" s="403"/>
      <c r="I54" s="403"/>
      <c r="J54" s="138">
        <f>J53</f>
        <v>0</v>
      </c>
      <c r="K54" s="70"/>
    </row>
    <row r="55" spans="1:15" ht="24.95" customHeight="1">
      <c r="A55" s="414" t="s">
        <v>153</v>
      </c>
      <c r="B55" s="414"/>
      <c r="C55" s="414"/>
    </row>
    <row r="56" spans="1:15" ht="36" customHeight="1">
      <c r="A56" s="95" t="s">
        <v>129</v>
      </c>
      <c r="B56" s="415" t="s">
        <v>154</v>
      </c>
      <c r="C56" s="416"/>
      <c r="D56" s="416"/>
      <c r="E56" s="417"/>
      <c r="F56" s="95" t="s">
        <v>130</v>
      </c>
      <c r="G56" s="95" t="s">
        <v>151</v>
      </c>
      <c r="H56" s="222" t="s">
        <v>144</v>
      </c>
      <c r="I56" s="61" t="s">
        <v>155</v>
      </c>
      <c r="J56" s="96" t="s">
        <v>134</v>
      </c>
      <c r="K56" s="95" t="s">
        <v>6</v>
      </c>
    </row>
    <row r="57" spans="1:15" ht="99.75" customHeight="1">
      <c r="A57" s="70">
        <v>1</v>
      </c>
      <c r="B57" s="439" t="s">
        <v>156</v>
      </c>
      <c r="C57" s="439"/>
      <c r="D57" s="439"/>
      <c r="E57" s="439"/>
      <c r="F57" s="70" t="s">
        <v>182</v>
      </c>
      <c r="G57" s="139">
        <f>F31</f>
        <v>396.1</v>
      </c>
      <c r="H57" s="223">
        <f>155000*5</f>
        <v>775000</v>
      </c>
      <c r="I57" s="67">
        <v>1</v>
      </c>
      <c r="J57" s="136">
        <f t="shared" ref="J57" si="1">ROUND(G57*H57*I57,2)</f>
        <v>306977500</v>
      </c>
      <c r="K57" s="62" t="s">
        <v>157</v>
      </c>
    </row>
    <row r="58" spans="1:15" ht="109.5" customHeight="1">
      <c r="A58" s="70">
        <v>2</v>
      </c>
      <c r="B58" s="439" t="s">
        <v>369</v>
      </c>
      <c r="C58" s="439"/>
      <c r="D58" s="439"/>
      <c r="E58" s="439"/>
      <c r="F58" s="70" t="s">
        <v>158</v>
      </c>
      <c r="G58" s="441" t="s">
        <v>373</v>
      </c>
      <c r="H58" s="442"/>
      <c r="I58" s="443"/>
      <c r="J58" s="140">
        <f>H25*30*16000*3</f>
        <v>8640000</v>
      </c>
      <c r="K58" s="63" t="s">
        <v>372</v>
      </c>
    </row>
    <row r="59" spans="1:15" s="47" customFormat="1" ht="83.25" customHeight="1">
      <c r="A59" s="70">
        <v>3</v>
      </c>
      <c r="B59" s="439" t="s">
        <v>159</v>
      </c>
      <c r="C59" s="439"/>
      <c r="D59" s="439"/>
      <c r="E59" s="439"/>
      <c r="F59" s="70" t="s">
        <v>182</v>
      </c>
      <c r="G59" s="141">
        <f>F31</f>
        <v>396.1</v>
      </c>
      <c r="H59" s="223">
        <v>3000</v>
      </c>
      <c r="I59" s="67">
        <v>1</v>
      </c>
      <c r="J59" s="140">
        <f>IF(G59*H59*I59&gt;=3000000,3000000,G59*H59*I59)</f>
        <v>1188300</v>
      </c>
      <c r="K59" s="65"/>
    </row>
    <row r="60" spans="1:15" ht="36.75" customHeight="1">
      <c r="A60" s="403" t="s">
        <v>136</v>
      </c>
      <c r="B60" s="403"/>
      <c r="C60" s="403"/>
      <c r="D60" s="403"/>
      <c r="E60" s="403"/>
      <c r="F60" s="403"/>
      <c r="G60" s="403"/>
      <c r="H60" s="403"/>
      <c r="I60" s="403"/>
      <c r="J60" s="138">
        <f>SUM(J57:J59)</f>
        <v>316805800</v>
      </c>
      <c r="K60" s="66"/>
    </row>
    <row r="61" spans="1:15">
      <c r="A61" s="438" t="s">
        <v>160</v>
      </c>
      <c r="B61" s="438"/>
      <c r="C61" s="438"/>
      <c r="D61" s="438"/>
      <c r="E61" s="438"/>
      <c r="F61" s="438"/>
      <c r="G61" s="435">
        <f>J40+J54+J60</f>
        <v>378201300</v>
      </c>
      <c r="H61" s="435"/>
      <c r="I61" s="142" t="s">
        <v>161</v>
      </c>
      <c r="K61" s="128"/>
      <c r="N61" s="64">
        <f>ROUND(F31/(F28-F29)%,2)</f>
        <v>20.34</v>
      </c>
      <c r="O61" s="143">
        <f>H25</f>
        <v>6</v>
      </c>
    </row>
    <row r="62" spans="1:15" ht="32.25" customHeight="1">
      <c r="B62" s="105" t="s">
        <v>178</v>
      </c>
      <c r="C62" s="436" t="str">
        <f>[1]!VND(G61)</f>
        <v>Ba trăm bảy mươi tám triệu, hai trăm lẻ một nghìn, ba trăm đồng chẵn.</v>
      </c>
      <c r="D62" s="436"/>
      <c r="E62" s="436"/>
      <c r="F62" s="436"/>
      <c r="G62" s="436"/>
      <c r="H62" s="436"/>
      <c r="I62" s="436"/>
      <c r="J62" s="436"/>
      <c r="K62" s="436"/>
    </row>
    <row r="63" spans="1:15" s="128" customFormat="1">
      <c r="A63" s="47"/>
      <c r="B63" s="49"/>
      <c r="C63" s="49"/>
      <c r="D63" s="49"/>
      <c r="E63" s="49"/>
      <c r="F63" s="60"/>
      <c r="G63" s="203"/>
      <c r="H63" s="221"/>
      <c r="I63" s="49"/>
      <c r="J63" s="60"/>
      <c r="K63" s="49"/>
    </row>
    <row r="64" spans="1:15" s="128" customFormat="1">
      <c r="A64" s="47"/>
      <c r="B64" s="49"/>
      <c r="C64" s="49"/>
      <c r="D64" s="49"/>
      <c r="E64" s="49"/>
      <c r="F64" s="60"/>
      <c r="G64" s="203"/>
      <c r="H64" s="221"/>
      <c r="I64" s="49"/>
      <c r="J64" s="60"/>
      <c r="K64" s="49"/>
    </row>
  </sheetData>
  <mergeCells count="84">
    <mergeCell ref="A26:F26"/>
    <mergeCell ref="A18:K18"/>
    <mergeCell ref="A19:H19"/>
    <mergeCell ref="A20:K20"/>
    <mergeCell ref="G58:I58"/>
    <mergeCell ref="A46:C46"/>
    <mergeCell ref="B47:K47"/>
    <mergeCell ref="D48:F48"/>
    <mergeCell ref="A49:A51"/>
    <mergeCell ref="B49:B51"/>
    <mergeCell ref="C49:C51"/>
    <mergeCell ref="D49:F49"/>
    <mergeCell ref="D50:F50"/>
    <mergeCell ref="D51:F51"/>
    <mergeCell ref="B57:E57"/>
    <mergeCell ref="A34:K34"/>
    <mergeCell ref="A33:K33"/>
    <mergeCell ref="B43:K43"/>
    <mergeCell ref="A27:K27"/>
    <mergeCell ref="A28:E28"/>
    <mergeCell ref="A30:E30"/>
    <mergeCell ref="H30:I30"/>
    <mergeCell ref="B31:D31"/>
    <mergeCell ref="H31:K31"/>
    <mergeCell ref="A29:E29"/>
    <mergeCell ref="A44:A45"/>
    <mergeCell ref="C44:C45"/>
    <mergeCell ref="D44:F44"/>
    <mergeCell ref="G44:G45"/>
    <mergeCell ref="H44:H45"/>
    <mergeCell ref="C62:K62"/>
    <mergeCell ref="D52:F52"/>
    <mergeCell ref="B58:E58"/>
    <mergeCell ref="B59:E59"/>
    <mergeCell ref="A60:I60"/>
    <mergeCell ref="A61:F61"/>
    <mergeCell ref="G61:H61"/>
    <mergeCell ref="A53:C53"/>
    <mergeCell ref="D53:F53"/>
    <mergeCell ref="A54:I54"/>
    <mergeCell ref="A55:C55"/>
    <mergeCell ref="B56:E56"/>
    <mergeCell ref="I44:I45"/>
    <mergeCell ref="J44:J45"/>
    <mergeCell ref="K44:K45"/>
    <mergeCell ref="A42:K42"/>
    <mergeCell ref="B32:D32"/>
    <mergeCell ref="A35:K35"/>
    <mergeCell ref="A36:K36"/>
    <mergeCell ref="A37:D37"/>
    <mergeCell ref="B38:C38"/>
    <mergeCell ref="F38:G38"/>
    <mergeCell ref="B39:C39"/>
    <mergeCell ref="F39:G39"/>
    <mergeCell ref="A40:D40"/>
    <mergeCell ref="F40:G40"/>
    <mergeCell ref="A41:K41"/>
    <mergeCell ref="B44:B45"/>
    <mergeCell ref="A5:D5"/>
    <mergeCell ref="B6:K6"/>
    <mergeCell ref="A7:K7"/>
    <mergeCell ref="A21:K21"/>
    <mergeCell ref="A22:E22"/>
    <mergeCell ref="F22:H22"/>
    <mergeCell ref="A16:K16"/>
    <mergeCell ref="A17:K17"/>
    <mergeCell ref="A8:K8"/>
    <mergeCell ref="A10:K10"/>
    <mergeCell ref="A14:K14"/>
    <mergeCell ref="A1:D1"/>
    <mergeCell ref="E1:K1"/>
    <mergeCell ref="A2:D2"/>
    <mergeCell ref="E2:K2"/>
    <mergeCell ref="A4:D4"/>
    <mergeCell ref="H4:K4"/>
    <mergeCell ref="A24:K24"/>
    <mergeCell ref="A25:G25"/>
    <mergeCell ref="I25:J25"/>
    <mergeCell ref="A11:K11"/>
    <mergeCell ref="A12:K12"/>
    <mergeCell ref="A13:K13"/>
    <mergeCell ref="A15:K15"/>
    <mergeCell ref="A23:G23"/>
    <mergeCell ref="H23:I23"/>
  </mergeCells>
  <printOptions horizontalCentered="1"/>
  <pageMargins left="0.27559055118110237" right="7.874015748031496E-2" top="0.39370078740157483" bottom="0.15748031496062992" header="0.19685039370078741" footer="0.15748031496062992"/>
  <pageSetup paperSize="9" scale="6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view="pageBreakPreview" zoomScale="80" zoomScaleNormal="100" zoomScaleSheetLayoutView="80" workbookViewId="0">
      <selection activeCell="A12" sqref="A12:K12"/>
    </sheetView>
  </sheetViews>
  <sheetFormatPr defaultRowHeight="18.75"/>
  <cols>
    <col min="1" max="1" width="5.125" style="47" customWidth="1"/>
    <col min="2" max="2" width="34.125" style="49" customWidth="1"/>
    <col min="3" max="3" width="8.5" style="49" customWidth="1"/>
    <col min="4" max="4" width="8.875" style="49" customWidth="1"/>
    <col min="5" max="5" width="9.625" style="49" customWidth="1"/>
    <col min="6" max="6" width="10.875" style="60" customWidth="1"/>
    <col min="7" max="7" width="9.75" style="203" customWidth="1"/>
    <col min="8" max="8" width="13.375" style="221" bestFit="1" customWidth="1"/>
    <col min="9" max="9" width="9.375" style="49" customWidth="1"/>
    <col min="10" max="10" width="17.625" style="60" customWidth="1"/>
    <col min="11" max="11" width="12.625" style="49" customWidth="1"/>
    <col min="12" max="12" width="8.125" style="49" hidden="1" customWidth="1"/>
    <col min="13" max="13" width="15.375" style="49" hidden="1" customWidth="1"/>
    <col min="14" max="14" width="9.75" style="49" hidden="1" customWidth="1"/>
    <col min="15" max="15" width="0" style="49" hidden="1" customWidth="1"/>
    <col min="16" max="256" width="9" style="49"/>
    <col min="257" max="257" width="5.125" style="49" customWidth="1"/>
    <col min="258" max="258" width="34.125" style="49" customWidth="1"/>
    <col min="259" max="259" width="9.625" style="49" customWidth="1"/>
    <col min="260" max="260" width="8.625" style="49" customWidth="1"/>
    <col min="261" max="261" width="9.375" style="49" customWidth="1"/>
    <col min="262" max="262" width="12.875" style="49" customWidth="1"/>
    <col min="263" max="263" width="11.75" style="49" customWidth="1"/>
    <col min="264" max="264" width="13" style="49" customWidth="1"/>
    <col min="265" max="265" width="10.25" style="49" customWidth="1"/>
    <col min="266" max="266" width="16.5" style="49" customWidth="1"/>
    <col min="267" max="267" width="19.125" style="49" customWidth="1"/>
    <col min="268" max="268" width="8.125" style="49" customWidth="1"/>
    <col min="269" max="269" width="15.375" style="49" customWidth="1"/>
    <col min="270" max="512" width="9" style="49"/>
    <col min="513" max="513" width="5.125" style="49" customWidth="1"/>
    <col min="514" max="514" width="34.125" style="49" customWidth="1"/>
    <col min="515" max="515" width="9.625" style="49" customWidth="1"/>
    <col min="516" max="516" width="8.625" style="49" customWidth="1"/>
    <col min="517" max="517" width="9.375" style="49" customWidth="1"/>
    <col min="518" max="518" width="12.875" style="49" customWidth="1"/>
    <col min="519" max="519" width="11.75" style="49" customWidth="1"/>
    <col min="520" max="520" width="13" style="49" customWidth="1"/>
    <col min="521" max="521" width="10.25" style="49" customWidth="1"/>
    <col min="522" max="522" width="16.5" style="49" customWidth="1"/>
    <col min="523" max="523" width="19.125" style="49" customWidth="1"/>
    <col min="524" max="524" width="8.125" style="49" customWidth="1"/>
    <col min="525" max="525" width="15.375" style="49" customWidth="1"/>
    <col min="526" max="768" width="9" style="49"/>
    <col min="769" max="769" width="5.125" style="49" customWidth="1"/>
    <col min="770" max="770" width="34.125" style="49" customWidth="1"/>
    <col min="771" max="771" width="9.625" style="49" customWidth="1"/>
    <col min="772" max="772" width="8.625" style="49" customWidth="1"/>
    <col min="773" max="773" width="9.375" style="49" customWidth="1"/>
    <col min="774" max="774" width="12.875" style="49" customWidth="1"/>
    <col min="775" max="775" width="11.75" style="49" customWidth="1"/>
    <col min="776" max="776" width="13" style="49" customWidth="1"/>
    <col min="777" max="777" width="10.25" style="49" customWidth="1"/>
    <col min="778" max="778" width="16.5" style="49" customWidth="1"/>
    <col min="779" max="779" width="19.125" style="49" customWidth="1"/>
    <col min="780" max="780" width="8.125" style="49" customWidth="1"/>
    <col min="781" max="781" width="15.375" style="49" customWidth="1"/>
    <col min="782" max="1024" width="9" style="49"/>
    <col min="1025" max="1025" width="5.125" style="49" customWidth="1"/>
    <col min="1026" max="1026" width="34.125" style="49" customWidth="1"/>
    <col min="1027" max="1027" width="9.625" style="49" customWidth="1"/>
    <col min="1028" max="1028" width="8.625" style="49" customWidth="1"/>
    <col min="1029" max="1029" width="9.375" style="49" customWidth="1"/>
    <col min="1030" max="1030" width="12.875" style="49" customWidth="1"/>
    <col min="1031" max="1031" width="11.75" style="49" customWidth="1"/>
    <col min="1032" max="1032" width="13" style="49" customWidth="1"/>
    <col min="1033" max="1033" width="10.25" style="49" customWidth="1"/>
    <col min="1034" max="1034" width="16.5" style="49" customWidth="1"/>
    <col min="1035" max="1035" width="19.125" style="49" customWidth="1"/>
    <col min="1036" max="1036" width="8.125" style="49" customWidth="1"/>
    <col min="1037" max="1037" width="15.375" style="49" customWidth="1"/>
    <col min="1038" max="1280" width="9" style="49"/>
    <col min="1281" max="1281" width="5.125" style="49" customWidth="1"/>
    <col min="1282" max="1282" width="34.125" style="49" customWidth="1"/>
    <col min="1283" max="1283" width="9.625" style="49" customWidth="1"/>
    <col min="1284" max="1284" width="8.625" style="49" customWidth="1"/>
    <col min="1285" max="1285" width="9.375" style="49" customWidth="1"/>
    <col min="1286" max="1286" width="12.875" style="49" customWidth="1"/>
    <col min="1287" max="1287" width="11.75" style="49" customWidth="1"/>
    <col min="1288" max="1288" width="13" style="49" customWidth="1"/>
    <col min="1289" max="1289" width="10.25" style="49" customWidth="1"/>
    <col min="1290" max="1290" width="16.5" style="49" customWidth="1"/>
    <col min="1291" max="1291" width="19.125" style="49" customWidth="1"/>
    <col min="1292" max="1292" width="8.125" style="49" customWidth="1"/>
    <col min="1293" max="1293" width="15.375" style="49" customWidth="1"/>
    <col min="1294" max="1536" width="9" style="49"/>
    <col min="1537" max="1537" width="5.125" style="49" customWidth="1"/>
    <col min="1538" max="1538" width="34.125" style="49" customWidth="1"/>
    <col min="1539" max="1539" width="9.625" style="49" customWidth="1"/>
    <col min="1540" max="1540" width="8.625" style="49" customWidth="1"/>
    <col min="1541" max="1541" width="9.375" style="49" customWidth="1"/>
    <col min="1542" max="1542" width="12.875" style="49" customWidth="1"/>
    <col min="1543" max="1543" width="11.75" style="49" customWidth="1"/>
    <col min="1544" max="1544" width="13" style="49" customWidth="1"/>
    <col min="1545" max="1545" width="10.25" style="49" customWidth="1"/>
    <col min="1546" max="1546" width="16.5" style="49" customWidth="1"/>
    <col min="1547" max="1547" width="19.125" style="49" customWidth="1"/>
    <col min="1548" max="1548" width="8.125" style="49" customWidth="1"/>
    <col min="1549" max="1549" width="15.375" style="49" customWidth="1"/>
    <col min="1550" max="1792" width="9" style="49"/>
    <col min="1793" max="1793" width="5.125" style="49" customWidth="1"/>
    <col min="1794" max="1794" width="34.125" style="49" customWidth="1"/>
    <col min="1795" max="1795" width="9.625" style="49" customWidth="1"/>
    <col min="1796" max="1796" width="8.625" style="49" customWidth="1"/>
    <col min="1797" max="1797" width="9.375" style="49" customWidth="1"/>
    <col min="1798" max="1798" width="12.875" style="49" customWidth="1"/>
    <col min="1799" max="1799" width="11.75" style="49" customWidth="1"/>
    <col min="1800" max="1800" width="13" style="49" customWidth="1"/>
    <col min="1801" max="1801" width="10.25" style="49" customWidth="1"/>
    <col min="1802" max="1802" width="16.5" style="49" customWidth="1"/>
    <col min="1803" max="1803" width="19.125" style="49" customWidth="1"/>
    <col min="1804" max="1804" width="8.125" style="49" customWidth="1"/>
    <col min="1805" max="1805" width="15.375" style="49" customWidth="1"/>
    <col min="1806" max="2048" width="9" style="49"/>
    <col min="2049" max="2049" width="5.125" style="49" customWidth="1"/>
    <col min="2050" max="2050" width="34.125" style="49" customWidth="1"/>
    <col min="2051" max="2051" width="9.625" style="49" customWidth="1"/>
    <col min="2052" max="2052" width="8.625" style="49" customWidth="1"/>
    <col min="2053" max="2053" width="9.375" style="49" customWidth="1"/>
    <col min="2054" max="2054" width="12.875" style="49" customWidth="1"/>
    <col min="2055" max="2055" width="11.75" style="49" customWidth="1"/>
    <col min="2056" max="2056" width="13" style="49" customWidth="1"/>
    <col min="2057" max="2057" width="10.25" style="49" customWidth="1"/>
    <col min="2058" max="2058" width="16.5" style="49" customWidth="1"/>
    <col min="2059" max="2059" width="19.125" style="49" customWidth="1"/>
    <col min="2060" max="2060" width="8.125" style="49" customWidth="1"/>
    <col min="2061" max="2061" width="15.375" style="49" customWidth="1"/>
    <col min="2062" max="2304" width="9" style="49"/>
    <col min="2305" max="2305" width="5.125" style="49" customWidth="1"/>
    <col min="2306" max="2306" width="34.125" style="49" customWidth="1"/>
    <col min="2307" max="2307" width="9.625" style="49" customWidth="1"/>
    <col min="2308" max="2308" width="8.625" style="49" customWidth="1"/>
    <col min="2309" max="2309" width="9.375" style="49" customWidth="1"/>
    <col min="2310" max="2310" width="12.875" style="49" customWidth="1"/>
    <col min="2311" max="2311" width="11.75" style="49" customWidth="1"/>
    <col min="2312" max="2312" width="13" style="49" customWidth="1"/>
    <col min="2313" max="2313" width="10.25" style="49" customWidth="1"/>
    <col min="2314" max="2314" width="16.5" style="49" customWidth="1"/>
    <col min="2315" max="2315" width="19.125" style="49" customWidth="1"/>
    <col min="2316" max="2316" width="8.125" style="49" customWidth="1"/>
    <col min="2317" max="2317" width="15.375" style="49" customWidth="1"/>
    <col min="2318" max="2560" width="9" style="49"/>
    <col min="2561" max="2561" width="5.125" style="49" customWidth="1"/>
    <col min="2562" max="2562" width="34.125" style="49" customWidth="1"/>
    <col min="2563" max="2563" width="9.625" style="49" customWidth="1"/>
    <col min="2564" max="2564" width="8.625" style="49" customWidth="1"/>
    <col min="2565" max="2565" width="9.375" style="49" customWidth="1"/>
    <col min="2566" max="2566" width="12.875" style="49" customWidth="1"/>
    <col min="2567" max="2567" width="11.75" style="49" customWidth="1"/>
    <col min="2568" max="2568" width="13" style="49" customWidth="1"/>
    <col min="2569" max="2569" width="10.25" style="49" customWidth="1"/>
    <col min="2570" max="2570" width="16.5" style="49" customWidth="1"/>
    <col min="2571" max="2571" width="19.125" style="49" customWidth="1"/>
    <col min="2572" max="2572" width="8.125" style="49" customWidth="1"/>
    <col min="2573" max="2573" width="15.375" style="49" customWidth="1"/>
    <col min="2574" max="2816" width="9" style="49"/>
    <col min="2817" max="2817" width="5.125" style="49" customWidth="1"/>
    <col min="2818" max="2818" width="34.125" style="49" customWidth="1"/>
    <col min="2819" max="2819" width="9.625" style="49" customWidth="1"/>
    <col min="2820" max="2820" width="8.625" style="49" customWidth="1"/>
    <col min="2821" max="2821" width="9.375" style="49" customWidth="1"/>
    <col min="2822" max="2822" width="12.875" style="49" customWidth="1"/>
    <col min="2823" max="2823" width="11.75" style="49" customWidth="1"/>
    <col min="2824" max="2824" width="13" style="49" customWidth="1"/>
    <col min="2825" max="2825" width="10.25" style="49" customWidth="1"/>
    <col min="2826" max="2826" width="16.5" style="49" customWidth="1"/>
    <col min="2827" max="2827" width="19.125" style="49" customWidth="1"/>
    <col min="2828" max="2828" width="8.125" style="49" customWidth="1"/>
    <col min="2829" max="2829" width="15.375" style="49" customWidth="1"/>
    <col min="2830" max="3072" width="9" style="49"/>
    <col min="3073" max="3073" width="5.125" style="49" customWidth="1"/>
    <col min="3074" max="3074" width="34.125" style="49" customWidth="1"/>
    <col min="3075" max="3075" width="9.625" style="49" customWidth="1"/>
    <col min="3076" max="3076" width="8.625" style="49" customWidth="1"/>
    <col min="3077" max="3077" width="9.375" style="49" customWidth="1"/>
    <col min="3078" max="3078" width="12.875" style="49" customWidth="1"/>
    <col min="3079" max="3079" width="11.75" style="49" customWidth="1"/>
    <col min="3080" max="3080" width="13" style="49" customWidth="1"/>
    <col min="3081" max="3081" width="10.25" style="49" customWidth="1"/>
    <col min="3082" max="3082" width="16.5" style="49" customWidth="1"/>
    <col min="3083" max="3083" width="19.125" style="49" customWidth="1"/>
    <col min="3084" max="3084" width="8.125" style="49" customWidth="1"/>
    <col min="3085" max="3085" width="15.375" style="49" customWidth="1"/>
    <col min="3086" max="3328" width="9" style="49"/>
    <col min="3329" max="3329" width="5.125" style="49" customWidth="1"/>
    <col min="3330" max="3330" width="34.125" style="49" customWidth="1"/>
    <col min="3331" max="3331" width="9.625" style="49" customWidth="1"/>
    <col min="3332" max="3332" width="8.625" style="49" customWidth="1"/>
    <col min="3333" max="3333" width="9.375" style="49" customWidth="1"/>
    <col min="3334" max="3334" width="12.875" style="49" customWidth="1"/>
    <col min="3335" max="3335" width="11.75" style="49" customWidth="1"/>
    <col min="3336" max="3336" width="13" style="49" customWidth="1"/>
    <col min="3337" max="3337" width="10.25" style="49" customWidth="1"/>
    <col min="3338" max="3338" width="16.5" style="49" customWidth="1"/>
    <col min="3339" max="3339" width="19.125" style="49" customWidth="1"/>
    <col min="3340" max="3340" width="8.125" style="49" customWidth="1"/>
    <col min="3341" max="3341" width="15.375" style="49" customWidth="1"/>
    <col min="3342" max="3584" width="9" style="49"/>
    <col min="3585" max="3585" width="5.125" style="49" customWidth="1"/>
    <col min="3586" max="3586" width="34.125" style="49" customWidth="1"/>
    <col min="3587" max="3587" width="9.625" style="49" customWidth="1"/>
    <col min="3588" max="3588" width="8.625" style="49" customWidth="1"/>
    <col min="3589" max="3589" width="9.375" style="49" customWidth="1"/>
    <col min="3590" max="3590" width="12.875" style="49" customWidth="1"/>
    <col min="3591" max="3591" width="11.75" style="49" customWidth="1"/>
    <col min="3592" max="3592" width="13" style="49" customWidth="1"/>
    <col min="3593" max="3593" width="10.25" style="49" customWidth="1"/>
    <col min="3594" max="3594" width="16.5" style="49" customWidth="1"/>
    <col min="3595" max="3595" width="19.125" style="49" customWidth="1"/>
    <col min="3596" max="3596" width="8.125" style="49" customWidth="1"/>
    <col min="3597" max="3597" width="15.375" style="49" customWidth="1"/>
    <col min="3598" max="3840" width="9" style="49"/>
    <col min="3841" max="3841" width="5.125" style="49" customWidth="1"/>
    <col min="3842" max="3842" width="34.125" style="49" customWidth="1"/>
    <col min="3843" max="3843" width="9.625" style="49" customWidth="1"/>
    <col min="3844" max="3844" width="8.625" style="49" customWidth="1"/>
    <col min="3845" max="3845" width="9.375" style="49" customWidth="1"/>
    <col min="3846" max="3846" width="12.875" style="49" customWidth="1"/>
    <col min="3847" max="3847" width="11.75" style="49" customWidth="1"/>
    <col min="3848" max="3848" width="13" style="49" customWidth="1"/>
    <col min="3849" max="3849" width="10.25" style="49" customWidth="1"/>
    <col min="3850" max="3850" width="16.5" style="49" customWidth="1"/>
    <col min="3851" max="3851" width="19.125" style="49" customWidth="1"/>
    <col min="3852" max="3852" width="8.125" style="49" customWidth="1"/>
    <col min="3853" max="3853" width="15.375" style="49" customWidth="1"/>
    <col min="3854" max="4096" width="9" style="49"/>
    <col min="4097" max="4097" width="5.125" style="49" customWidth="1"/>
    <col min="4098" max="4098" width="34.125" style="49" customWidth="1"/>
    <col min="4099" max="4099" width="9.625" style="49" customWidth="1"/>
    <col min="4100" max="4100" width="8.625" style="49" customWidth="1"/>
    <col min="4101" max="4101" width="9.375" style="49" customWidth="1"/>
    <col min="4102" max="4102" width="12.875" style="49" customWidth="1"/>
    <col min="4103" max="4103" width="11.75" style="49" customWidth="1"/>
    <col min="4104" max="4104" width="13" style="49" customWidth="1"/>
    <col min="4105" max="4105" width="10.25" style="49" customWidth="1"/>
    <col min="4106" max="4106" width="16.5" style="49" customWidth="1"/>
    <col min="4107" max="4107" width="19.125" style="49" customWidth="1"/>
    <col min="4108" max="4108" width="8.125" style="49" customWidth="1"/>
    <col min="4109" max="4109" width="15.375" style="49" customWidth="1"/>
    <col min="4110" max="4352" width="9" style="49"/>
    <col min="4353" max="4353" width="5.125" style="49" customWidth="1"/>
    <col min="4354" max="4354" width="34.125" style="49" customWidth="1"/>
    <col min="4355" max="4355" width="9.625" style="49" customWidth="1"/>
    <col min="4356" max="4356" width="8.625" style="49" customWidth="1"/>
    <col min="4357" max="4357" width="9.375" style="49" customWidth="1"/>
    <col min="4358" max="4358" width="12.875" style="49" customWidth="1"/>
    <col min="4359" max="4359" width="11.75" style="49" customWidth="1"/>
    <col min="4360" max="4360" width="13" style="49" customWidth="1"/>
    <col min="4361" max="4361" width="10.25" style="49" customWidth="1"/>
    <col min="4362" max="4362" width="16.5" style="49" customWidth="1"/>
    <col min="4363" max="4363" width="19.125" style="49" customWidth="1"/>
    <col min="4364" max="4364" width="8.125" style="49" customWidth="1"/>
    <col min="4365" max="4365" width="15.375" style="49" customWidth="1"/>
    <col min="4366" max="4608" width="9" style="49"/>
    <col min="4609" max="4609" width="5.125" style="49" customWidth="1"/>
    <col min="4610" max="4610" width="34.125" style="49" customWidth="1"/>
    <col min="4611" max="4611" width="9.625" style="49" customWidth="1"/>
    <col min="4612" max="4612" width="8.625" style="49" customWidth="1"/>
    <col min="4613" max="4613" width="9.375" style="49" customWidth="1"/>
    <col min="4614" max="4614" width="12.875" style="49" customWidth="1"/>
    <col min="4615" max="4615" width="11.75" style="49" customWidth="1"/>
    <col min="4616" max="4616" width="13" style="49" customWidth="1"/>
    <col min="4617" max="4617" width="10.25" style="49" customWidth="1"/>
    <col min="4618" max="4618" width="16.5" style="49" customWidth="1"/>
    <col min="4619" max="4619" width="19.125" style="49" customWidth="1"/>
    <col min="4620" max="4620" width="8.125" style="49" customWidth="1"/>
    <col min="4621" max="4621" width="15.375" style="49" customWidth="1"/>
    <col min="4622" max="4864" width="9" style="49"/>
    <col min="4865" max="4865" width="5.125" style="49" customWidth="1"/>
    <col min="4866" max="4866" width="34.125" style="49" customWidth="1"/>
    <col min="4867" max="4867" width="9.625" style="49" customWidth="1"/>
    <col min="4868" max="4868" width="8.625" style="49" customWidth="1"/>
    <col min="4869" max="4869" width="9.375" style="49" customWidth="1"/>
    <col min="4870" max="4870" width="12.875" style="49" customWidth="1"/>
    <col min="4871" max="4871" width="11.75" style="49" customWidth="1"/>
    <col min="4872" max="4872" width="13" style="49" customWidth="1"/>
    <col min="4873" max="4873" width="10.25" style="49" customWidth="1"/>
    <col min="4874" max="4874" width="16.5" style="49" customWidth="1"/>
    <col min="4875" max="4875" width="19.125" style="49" customWidth="1"/>
    <col min="4876" max="4876" width="8.125" style="49" customWidth="1"/>
    <col min="4877" max="4877" width="15.375" style="49" customWidth="1"/>
    <col min="4878" max="5120" width="9" style="49"/>
    <col min="5121" max="5121" width="5.125" style="49" customWidth="1"/>
    <col min="5122" max="5122" width="34.125" style="49" customWidth="1"/>
    <col min="5123" max="5123" width="9.625" style="49" customWidth="1"/>
    <col min="5124" max="5124" width="8.625" style="49" customWidth="1"/>
    <col min="5125" max="5125" width="9.375" style="49" customWidth="1"/>
    <col min="5126" max="5126" width="12.875" style="49" customWidth="1"/>
    <col min="5127" max="5127" width="11.75" style="49" customWidth="1"/>
    <col min="5128" max="5128" width="13" style="49" customWidth="1"/>
    <col min="5129" max="5129" width="10.25" style="49" customWidth="1"/>
    <col min="5130" max="5130" width="16.5" style="49" customWidth="1"/>
    <col min="5131" max="5131" width="19.125" style="49" customWidth="1"/>
    <col min="5132" max="5132" width="8.125" style="49" customWidth="1"/>
    <col min="5133" max="5133" width="15.375" style="49" customWidth="1"/>
    <col min="5134" max="5376" width="9" style="49"/>
    <col min="5377" max="5377" width="5.125" style="49" customWidth="1"/>
    <col min="5378" max="5378" width="34.125" style="49" customWidth="1"/>
    <col min="5379" max="5379" width="9.625" style="49" customWidth="1"/>
    <col min="5380" max="5380" width="8.625" style="49" customWidth="1"/>
    <col min="5381" max="5381" width="9.375" style="49" customWidth="1"/>
    <col min="5382" max="5382" width="12.875" style="49" customWidth="1"/>
    <col min="5383" max="5383" width="11.75" style="49" customWidth="1"/>
    <col min="5384" max="5384" width="13" style="49" customWidth="1"/>
    <col min="5385" max="5385" width="10.25" style="49" customWidth="1"/>
    <col min="5386" max="5386" width="16.5" style="49" customWidth="1"/>
    <col min="5387" max="5387" width="19.125" style="49" customWidth="1"/>
    <col min="5388" max="5388" width="8.125" style="49" customWidth="1"/>
    <col min="5389" max="5389" width="15.375" style="49" customWidth="1"/>
    <col min="5390" max="5632" width="9" style="49"/>
    <col min="5633" max="5633" width="5.125" style="49" customWidth="1"/>
    <col min="5634" max="5634" width="34.125" style="49" customWidth="1"/>
    <col min="5635" max="5635" width="9.625" style="49" customWidth="1"/>
    <col min="5636" max="5636" width="8.625" style="49" customWidth="1"/>
    <col min="5637" max="5637" width="9.375" style="49" customWidth="1"/>
    <col min="5638" max="5638" width="12.875" style="49" customWidth="1"/>
    <col min="5639" max="5639" width="11.75" style="49" customWidth="1"/>
    <col min="5640" max="5640" width="13" style="49" customWidth="1"/>
    <col min="5641" max="5641" width="10.25" style="49" customWidth="1"/>
    <col min="5642" max="5642" width="16.5" style="49" customWidth="1"/>
    <col min="5643" max="5643" width="19.125" style="49" customWidth="1"/>
    <col min="5644" max="5644" width="8.125" style="49" customWidth="1"/>
    <col min="5645" max="5645" width="15.375" style="49" customWidth="1"/>
    <col min="5646" max="5888" width="9" style="49"/>
    <col min="5889" max="5889" width="5.125" style="49" customWidth="1"/>
    <col min="5890" max="5890" width="34.125" style="49" customWidth="1"/>
    <col min="5891" max="5891" width="9.625" style="49" customWidth="1"/>
    <col min="5892" max="5892" width="8.625" style="49" customWidth="1"/>
    <col min="5893" max="5893" width="9.375" style="49" customWidth="1"/>
    <col min="5894" max="5894" width="12.875" style="49" customWidth="1"/>
    <col min="5895" max="5895" width="11.75" style="49" customWidth="1"/>
    <col min="5896" max="5896" width="13" style="49" customWidth="1"/>
    <col min="5897" max="5897" width="10.25" style="49" customWidth="1"/>
    <col min="5898" max="5898" width="16.5" style="49" customWidth="1"/>
    <col min="5899" max="5899" width="19.125" style="49" customWidth="1"/>
    <col min="5900" max="5900" width="8.125" style="49" customWidth="1"/>
    <col min="5901" max="5901" width="15.375" style="49" customWidth="1"/>
    <col min="5902" max="6144" width="9" style="49"/>
    <col min="6145" max="6145" width="5.125" style="49" customWidth="1"/>
    <col min="6146" max="6146" width="34.125" style="49" customWidth="1"/>
    <col min="6147" max="6147" width="9.625" style="49" customWidth="1"/>
    <col min="6148" max="6148" width="8.625" style="49" customWidth="1"/>
    <col min="6149" max="6149" width="9.375" style="49" customWidth="1"/>
    <col min="6150" max="6150" width="12.875" style="49" customWidth="1"/>
    <col min="6151" max="6151" width="11.75" style="49" customWidth="1"/>
    <col min="6152" max="6152" width="13" style="49" customWidth="1"/>
    <col min="6153" max="6153" width="10.25" style="49" customWidth="1"/>
    <col min="6154" max="6154" width="16.5" style="49" customWidth="1"/>
    <col min="6155" max="6155" width="19.125" style="49" customWidth="1"/>
    <col min="6156" max="6156" width="8.125" style="49" customWidth="1"/>
    <col min="6157" max="6157" width="15.375" style="49" customWidth="1"/>
    <col min="6158" max="6400" width="9" style="49"/>
    <col min="6401" max="6401" width="5.125" style="49" customWidth="1"/>
    <col min="6402" max="6402" width="34.125" style="49" customWidth="1"/>
    <col min="6403" max="6403" width="9.625" style="49" customWidth="1"/>
    <col min="6404" max="6404" width="8.625" style="49" customWidth="1"/>
    <col min="6405" max="6405" width="9.375" style="49" customWidth="1"/>
    <col min="6406" max="6406" width="12.875" style="49" customWidth="1"/>
    <col min="6407" max="6407" width="11.75" style="49" customWidth="1"/>
    <col min="6408" max="6408" width="13" style="49" customWidth="1"/>
    <col min="6409" max="6409" width="10.25" style="49" customWidth="1"/>
    <col min="6410" max="6410" width="16.5" style="49" customWidth="1"/>
    <col min="6411" max="6411" width="19.125" style="49" customWidth="1"/>
    <col min="6412" max="6412" width="8.125" style="49" customWidth="1"/>
    <col min="6413" max="6413" width="15.375" style="49" customWidth="1"/>
    <col min="6414" max="6656" width="9" style="49"/>
    <col min="6657" max="6657" width="5.125" style="49" customWidth="1"/>
    <col min="6658" max="6658" width="34.125" style="49" customWidth="1"/>
    <col min="6659" max="6659" width="9.625" style="49" customWidth="1"/>
    <col min="6660" max="6660" width="8.625" style="49" customWidth="1"/>
    <col min="6661" max="6661" width="9.375" style="49" customWidth="1"/>
    <col min="6662" max="6662" width="12.875" style="49" customWidth="1"/>
    <col min="6663" max="6663" width="11.75" style="49" customWidth="1"/>
    <col min="6664" max="6664" width="13" style="49" customWidth="1"/>
    <col min="6665" max="6665" width="10.25" style="49" customWidth="1"/>
    <col min="6666" max="6666" width="16.5" style="49" customWidth="1"/>
    <col min="6667" max="6667" width="19.125" style="49" customWidth="1"/>
    <col min="6668" max="6668" width="8.125" style="49" customWidth="1"/>
    <col min="6669" max="6669" width="15.375" style="49" customWidth="1"/>
    <col min="6670" max="6912" width="9" style="49"/>
    <col min="6913" max="6913" width="5.125" style="49" customWidth="1"/>
    <col min="6914" max="6914" width="34.125" style="49" customWidth="1"/>
    <col min="6915" max="6915" width="9.625" style="49" customWidth="1"/>
    <col min="6916" max="6916" width="8.625" style="49" customWidth="1"/>
    <col min="6917" max="6917" width="9.375" style="49" customWidth="1"/>
    <col min="6918" max="6918" width="12.875" style="49" customWidth="1"/>
    <col min="6919" max="6919" width="11.75" style="49" customWidth="1"/>
    <col min="6920" max="6920" width="13" style="49" customWidth="1"/>
    <col min="6921" max="6921" width="10.25" style="49" customWidth="1"/>
    <col min="6922" max="6922" width="16.5" style="49" customWidth="1"/>
    <col min="6923" max="6923" width="19.125" style="49" customWidth="1"/>
    <col min="6924" max="6924" width="8.125" style="49" customWidth="1"/>
    <col min="6925" max="6925" width="15.375" style="49" customWidth="1"/>
    <col min="6926" max="7168" width="9" style="49"/>
    <col min="7169" max="7169" width="5.125" style="49" customWidth="1"/>
    <col min="7170" max="7170" width="34.125" style="49" customWidth="1"/>
    <col min="7171" max="7171" width="9.625" style="49" customWidth="1"/>
    <col min="7172" max="7172" width="8.625" style="49" customWidth="1"/>
    <col min="7173" max="7173" width="9.375" style="49" customWidth="1"/>
    <col min="7174" max="7174" width="12.875" style="49" customWidth="1"/>
    <col min="7175" max="7175" width="11.75" style="49" customWidth="1"/>
    <col min="7176" max="7176" width="13" style="49" customWidth="1"/>
    <col min="7177" max="7177" width="10.25" style="49" customWidth="1"/>
    <col min="7178" max="7178" width="16.5" style="49" customWidth="1"/>
    <col min="7179" max="7179" width="19.125" style="49" customWidth="1"/>
    <col min="7180" max="7180" width="8.125" style="49" customWidth="1"/>
    <col min="7181" max="7181" width="15.375" style="49" customWidth="1"/>
    <col min="7182" max="7424" width="9" style="49"/>
    <col min="7425" max="7425" width="5.125" style="49" customWidth="1"/>
    <col min="7426" max="7426" width="34.125" style="49" customWidth="1"/>
    <col min="7427" max="7427" width="9.625" style="49" customWidth="1"/>
    <col min="7428" max="7428" width="8.625" style="49" customWidth="1"/>
    <col min="7429" max="7429" width="9.375" style="49" customWidth="1"/>
    <col min="7430" max="7430" width="12.875" style="49" customWidth="1"/>
    <col min="7431" max="7431" width="11.75" style="49" customWidth="1"/>
    <col min="7432" max="7432" width="13" style="49" customWidth="1"/>
    <col min="7433" max="7433" width="10.25" style="49" customWidth="1"/>
    <col min="7434" max="7434" width="16.5" style="49" customWidth="1"/>
    <col min="7435" max="7435" width="19.125" style="49" customWidth="1"/>
    <col min="7436" max="7436" width="8.125" style="49" customWidth="1"/>
    <col min="7437" max="7437" width="15.375" style="49" customWidth="1"/>
    <col min="7438" max="7680" width="9" style="49"/>
    <col min="7681" max="7681" width="5.125" style="49" customWidth="1"/>
    <col min="7682" max="7682" width="34.125" style="49" customWidth="1"/>
    <col min="7683" max="7683" width="9.625" style="49" customWidth="1"/>
    <col min="7684" max="7684" width="8.625" style="49" customWidth="1"/>
    <col min="7685" max="7685" width="9.375" style="49" customWidth="1"/>
    <col min="7686" max="7686" width="12.875" style="49" customWidth="1"/>
    <col min="7687" max="7687" width="11.75" style="49" customWidth="1"/>
    <col min="7688" max="7688" width="13" style="49" customWidth="1"/>
    <col min="7689" max="7689" width="10.25" style="49" customWidth="1"/>
    <col min="7690" max="7690" width="16.5" style="49" customWidth="1"/>
    <col min="7691" max="7691" width="19.125" style="49" customWidth="1"/>
    <col min="7692" max="7692" width="8.125" style="49" customWidth="1"/>
    <col min="7693" max="7693" width="15.375" style="49" customWidth="1"/>
    <col min="7694" max="7936" width="9" style="49"/>
    <col min="7937" max="7937" width="5.125" style="49" customWidth="1"/>
    <col min="7938" max="7938" width="34.125" style="49" customWidth="1"/>
    <col min="7939" max="7939" width="9.625" style="49" customWidth="1"/>
    <col min="7940" max="7940" width="8.625" style="49" customWidth="1"/>
    <col min="7941" max="7941" width="9.375" style="49" customWidth="1"/>
    <col min="7942" max="7942" width="12.875" style="49" customWidth="1"/>
    <col min="7943" max="7943" width="11.75" style="49" customWidth="1"/>
    <col min="7944" max="7944" width="13" style="49" customWidth="1"/>
    <col min="7945" max="7945" width="10.25" style="49" customWidth="1"/>
    <col min="7946" max="7946" width="16.5" style="49" customWidth="1"/>
    <col min="7947" max="7947" width="19.125" style="49" customWidth="1"/>
    <col min="7948" max="7948" width="8.125" style="49" customWidth="1"/>
    <col min="7949" max="7949" width="15.375" style="49" customWidth="1"/>
    <col min="7950" max="8192" width="9" style="49"/>
    <col min="8193" max="8193" width="5.125" style="49" customWidth="1"/>
    <col min="8194" max="8194" width="34.125" style="49" customWidth="1"/>
    <col min="8195" max="8195" width="9.625" style="49" customWidth="1"/>
    <col min="8196" max="8196" width="8.625" style="49" customWidth="1"/>
    <col min="8197" max="8197" width="9.375" style="49" customWidth="1"/>
    <col min="8198" max="8198" width="12.875" style="49" customWidth="1"/>
    <col min="8199" max="8199" width="11.75" style="49" customWidth="1"/>
    <col min="8200" max="8200" width="13" style="49" customWidth="1"/>
    <col min="8201" max="8201" width="10.25" style="49" customWidth="1"/>
    <col min="8202" max="8202" width="16.5" style="49" customWidth="1"/>
    <col min="8203" max="8203" width="19.125" style="49" customWidth="1"/>
    <col min="8204" max="8204" width="8.125" style="49" customWidth="1"/>
    <col min="8205" max="8205" width="15.375" style="49" customWidth="1"/>
    <col min="8206" max="8448" width="9" style="49"/>
    <col min="8449" max="8449" width="5.125" style="49" customWidth="1"/>
    <col min="8450" max="8450" width="34.125" style="49" customWidth="1"/>
    <col min="8451" max="8451" width="9.625" style="49" customWidth="1"/>
    <col min="8452" max="8452" width="8.625" style="49" customWidth="1"/>
    <col min="8453" max="8453" width="9.375" style="49" customWidth="1"/>
    <col min="8454" max="8454" width="12.875" style="49" customWidth="1"/>
    <col min="8455" max="8455" width="11.75" style="49" customWidth="1"/>
    <col min="8456" max="8456" width="13" style="49" customWidth="1"/>
    <col min="8457" max="8457" width="10.25" style="49" customWidth="1"/>
    <col min="8458" max="8458" width="16.5" style="49" customWidth="1"/>
    <col min="8459" max="8459" width="19.125" style="49" customWidth="1"/>
    <col min="8460" max="8460" width="8.125" style="49" customWidth="1"/>
    <col min="8461" max="8461" width="15.375" style="49" customWidth="1"/>
    <col min="8462" max="8704" width="9" style="49"/>
    <col min="8705" max="8705" width="5.125" style="49" customWidth="1"/>
    <col min="8706" max="8706" width="34.125" style="49" customWidth="1"/>
    <col min="8707" max="8707" width="9.625" style="49" customWidth="1"/>
    <col min="8708" max="8708" width="8.625" style="49" customWidth="1"/>
    <col min="8709" max="8709" width="9.375" style="49" customWidth="1"/>
    <col min="8710" max="8710" width="12.875" style="49" customWidth="1"/>
    <col min="8711" max="8711" width="11.75" style="49" customWidth="1"/>
    <col min="8712" max="8712" width="13" style="49" customWidth="1"/>
    <col min="8713" max="8713" width="10.25" style="49" customWidth="1"/>
    <col min="8714" max="8714" width="16.5" style="49" customWidth="1"/>
    <col min="8715" max="8715" width="19.125" style="49" customWidth="1"/>
    <col min="8716" max="8716" width="8.125" style="49" customWidth="1"/>
    <col min="8717" max="8717" width="15.375" style="49" customWidth="1"/>
    <col min="8718" max="8960" width="9" style="49"/>
    <col min="8961" max="8961" width="5.125" style="49" customWidth="1"/>
    <col min="8962" max="8962" width="34.125" style="49" customWidth="1"/>
    <col min="8963" max="8963" width="9.625" style="49" customWidth="1"/>
    <col min="8964" max="8964" width="8.625" style="49" customWidth="1"/>
    <col min="8965" max="8965" width="9.375" style="49" customWidth="1"/>
    <col min="8966" max="8966" width="12.875" style="49" customWidth="1"/>
    <col min="8967" max="8967" width="11.75" style="49" customWidth="1"/>
    <col min="8968" max="8968" width="13" style="49" customWidth="1"/>
    <col min="8969" max="8969" width="10.25" style="49" customWidth="1"/>
    <col min="8970" max="8970" width="16.5" style="49" customWidth="1"/>
    <col min="8971" max="8971" width="19.125" style="49" customWidth="1"/>
    <col min="8972" max="8972" width="8.125" style="49" customWidth="1"/>
    <col min="8973" max="8973" width="15.375" style="49" customWidth="1"/>
    <col min="8974" max="9216" width="9" style="49"/>
    <col min="9217" max="9217" width="5.125" style="49" customWidth="1"/>
    <col min="9218" max="9218" width="34.125" style="49" customWidth="1"/>
    <col min="9219" max="9219" width="9.625" style="49" customWidth="1"/>
    <col min="9220" max="9220" width="8.625" style="49" customWidth="1"/>
    <col min="9221" max="9221" width="9.375" style="49" customWidth="1"/>
    <col min="9222" max="9222" width="12.875" style="49" customWidth="1"/>
    <col min="9223" max="9223" width="11.75" style="49" customWidth="1"/>
    <col min="9224" max="9224" width="13" style="49" customWidth="1"/>
    <col min="9225" max="9225" width="10.25" style="49" customWidth="1"/>
    <col min="9226" max="9226" width="16.5" style="49" customWidth="1"/>
    <col min="9227" max="9227" width="19.125" style="49" customWidth="1"/>
    <col min="9228" max="9228" width="8.125" style="49" customWidth="1"/>
    <col min="9229" max="9229" width="15.375" style="49" customWidth="1"/>
    <col min="9230" max="9472" width="9" style="49"/>
    <col min="9473" max="9473" width="5.125" style="49" customWidth="1"/>
    <col min="9474" max="9474" width="34.125" style="49" customWidth="1"/>
    <col min="9475" max="9475" width="9.625" style="49" customWidth="1"/>
    <col min="9476" max="9476" width="8.625" style="49" customWidth="1"/>
    <col min="9477" max="9477" width="9.375" style="49" customWidth="1"/>
    <col min="9478" max="9478" width="12.875" style="49" customWidth="1"/>
    <col min="9479" max="9479" width="11.75" style="49" customWidth="1"/>
    <col min="9480" max="9480" width="13" style="49" customWidth="1"/>
    <col min="9481" max="9481" width="10.25" style="49" customWidth="1"/>
    <col min="9482" max="9482" width="16.5" style="49" customWidth="1"/>
    <col min="9483" max="9483" width="19.125" style="49" customWidth="1"/>
    <col min="9484" max="9484" width="8.125" style="49" customWidth="1"/>
    <col min="9485" max="9485" width="15.375" style="49" customWidth="1"/>
    <col min="9486" max="9728" width="9" style="49"/>
    <col min="9729" max="9729" width="5.125" style="49" customWidth="1"/>
    <col min="9730" max="9730" width="34.125" style="49" customWidth="1"/>
    <col min="9731" max="9731" width="9.625" style="49" customWidth="1"/>
    <col min="9732" max="9732" width="8.625" style="49" customWidth="1"/>
    <col min="9733" max="9733" width="9.375" style="49" customWidth="1"/>
    <col min="9734" max="9734" width="12.875" style="49" customWidth="1"/>
    <col min="9735" max="9735" width="11.75" style="49" customWidth="1"/>
    <col min="9736" max="9736" width="13" style="49" customWidth="1"/>
    <col min="9737" max="9737" width="10.25" style="49" customWidth="1"/>
    <col min="9738" max="9738" width="16.5" style="49" customWidth="1"/>
    <col min="9739" max="9739" width="19.125" style="49" customWidth="1"/>
    <col min="9740" max="9740" width="8.125" style="49" customWidth="1"/>
    <col min="9741" max="9741" width="15.375" style="49" customWidth="1"/>
    <col min="9742" max="9984" width="9" style="49"/>
    <col min="9985" max="9985" width="5.125" style="49" customWidth="1"/>
    <col min="9986" max="9986" width="34.125" style="49" customWidth="1"/>
    <col min="9987" max="9987" width="9.625" style="49" customWidth="1"/>
    <col min="9988" max="9988" width="8.625" style="49" customWidth="1"/>
    <col min="9989" max="9989" width="9.375" style="49" customWidth="1"/>
    <col min="9990" max="9990" width="12.875" style="49" customWidth="1"/>
    <col min="9991" max="9991" width="11.75" style="49" customWidth="1"/>
    <col min="9992" max="9992" width="13" style="49" customWidth="1"/>
    <col min="9993" max="9993" width="10.25" style="49" customWidth="1"/>
    <col min="9994" max="9994" width="16.5" style="49" customWidth="1"/>
    <col min="9995" max="9995" width="19.125" style="49" customWidth="1"/>
    <col min="9996" max="9996" width="8.125" style="49" customWidth="1"/>
    <col min="9997" max="9997" width="15.375" style="49" customWidth="1"/>
    <col min="9998" max="10240" width="9" style="49"/>
    <col min="10241" max="10241" width="5.125" style="49" customWidth="1"/>
    <col min="10242" max="10242" width="34.125" style="49" customWidth="1"/>
    <col min="10243" max="10243" width="9.625" style="49" customWidth="1"/>
    <col min="10244" max="10244" width="8.625" style="49" customWidth="1"/>
    <col min="10245" max="10245" width="9.375" style="49" customWidth="1"/>
    <col min="10246" max="10246" width="12.875" style="49" customWidth="1"/>
    <col min="10247" max="10247" width="11.75" style="49" customWidth="1"/>
    <col min="10248" max="10248" width="13" style="49" customWidth="1"/>
    <col min="10249" max="10249" width="10.25" style="49" customWidth="1"/>
    <col min="10250" max="10250" width="16.5" style="49" customWidth="1"/>
    <col min="10251" max="10251" width="19.125" style="49" customWidth="1"/>
    <col min="10252" max="10252" width="8.125" style="49" customWidth="1"/>
    <col min="10253" max="10253" width="15.375" style="49" customWidth="1"/>
    <col min="10254" max="10496" width="9" style="49"/>
    <col min="10497" max="10497" width="5.125" style="49" customWidth="1"/>
    <col min="10498" max="10498" width="34.125" style="49" customWidth="1"/>
    <col min="10499" max="10499" width="9.625" style="49" customWidth="1"/>
    <col min="10500" max="10500" width="8.625" style="49" customWidth="1"/>
    <col min="10501" max="10501" width="9.375" style="49" customWidth="1"/>
    <col min="10502" max="10502" width="12.875" style="49" customWidth="1"/>
    <col min="10503" max="10503" width="11.75" style="49" customWidth="1"/>
    <col min="10504" max="10504" width="13" style="49" customWidth="1"/>
    <col min="10505" max="10505" width="10.25" style="49" customWidth="1"/>
    <col min="10506" max="10506" width="16.5" style="49" customWidth="1"/>
    <col min="10507" max="10507" width="19.125" style="49" customWidth="1"/>
    <col min="10508" max="10508" width="8.125" style="49" customWidth="1"/>
    <col min="10509" max="10509" width="15.375" style="49" customWidth="1"/>
    <col min="10510" max="10752" width="9" style="49"/>
    <col min="10753" max="10753" width="5.125" style="49" customWidth="1"/>
    <col min="10754" max="10754" width="34.125" style="49" customWidth="1"/>
    <col min="10755" max="10755" width="9.625" style="49" customWidth="1"/>
    <col min="10756" max="10756" width="8.625" style="49" customWidth="1"/>
    <col min="10757" max="10757" width="9.375" style="49" customWidth="1"/>
    <col min="10758" max="10758" width="12.875" style="49" customWidth="1"/>
    <col min="10759" max="10759" width="11.75" style="49" customWidth="1"/>
    <col min="10760" max="10760" width="13" style="49" customWidth="1"/>
    <col min="10761" max="10761" width="10.25" style="49" customWidth="1"/>
    <col min="10762" max="10762" width="16.5" style="49" customWidth="1"/>
    <col min="10763" max="10763" width="19.125" style="49" customWidth="1"/>
    <col min="10764" max="10764" width="8.125" style="49" customWidth="1"/>
    <col min="10765" max="10765" width="15.375" style="49" customWidth="1"/>
    <col min="10766" max="11008" width="9" style="49"/>
    <col min="11009" max="11009" width="5.125" style="49" customWidth="1"/>
    <col min="11010" max="11010" width="34.125" style="49" customWidth="1"/>
    <col min="11011" max="11011" width="9.625" style="49" customWidth="1"/>
    <col min="11012" max="11012" width="8.625" style="49" customWidth="1"/>
    <col min="11013" max="11013" width="9.375" style="49" customWidth="1"/>
    <col min="11014" max="11014" width="12.875" style="49" customWidth="1"/>
    <col min="11015" max="11015" width="11.75" style="49" customWidth="1"/>
    <col min="11016" max="11016" width="13" style="49" customWidth="1"/>
    <col min="11017" max="11017" width="10.25" style="49" customWidth="1"/>
    <col min="11018" max="11018" width="16.5" style="49" customWidth="1"/>
    <col min="11019" max="11019" width="19.125" style="49" customWidth="1"/>
    <col min="11020" max="11020" width="8.125" style="49" customWidth="1"/>
    <col min="11021" max="11021" width="15.375" style="49" customWidth="1"/>
    <col min="11022" max="11264" width="9" style="49"/>
    <col min="11265" max="11265" width="5.125" style="49" customWidth="1"/>
    <col min="11266" max="11266" width="34.125" style="49" customWidth="1"/>
    <col min="11267" max="11267" width="9.625" style="49" customWidth="1"/>
    <col min="11268" max="11268" width="8.625" style="49" customWidth="1"/>
    <col min="11269" max="11269" width="9.375" style="49" customWidth="1"/>
    <col min="11270" max="11270" width="12.875" style="49" customWidth="1"/>
    <col min="11271" max="11271" width="11.75" style="49" customWidth="1"/>
    <col min="11272" max="11272" width="13" style="49" customWidth="1"/>
    <col min="11273" max="11273" width="10.25" style="49" customWidth="1"/>
    <col min="11274" max="11274" width="16.5" style="49" customWidth="1"/>
    <col min="11275" max="11275" width="19.125" style="49" customWidth="1"/>
    <col min="11276" max="11276" width="8.125" style="49" customWidth="1"/>
    <col min="11277" max="11277" width="15.375" style="49" customWidth="1"/>
    <col min="11278" max="11520" width="9" style="49"/>
    <col min="11521" max="11521" width="5.125" style="49" customWidth="1"/>
    <col min="11522" max="11522" width="34.125" style="49" customWidth="1"/>
    <col min="11523" max="11523" width="9.625" style="49" customWidth="1"/>
    <col min="11524" max="11524" width="8.625" style="49" customWidth="1"/>
    <col min="11525" max="11525" width="9.375" style="49" customWidth="1"/>
    <col min="11526" max="11526" width="12.875" style="49" customWidth="1"/>
    <col min="11527" max="11527" width="11.75" style="49" customWidth="1"/>
    <col min="11528" max="11528" width="13" style="49" customWidth="1"/>
    <col min="11529" max="11529" width="10.25" style="49" customWidth="1"/>
    <col min="11530" max="11530" width="16.5" style="49" customWidth="1"/>
    <col min="11531" max="11531" width="19.125" style="49" customWidth="1"/>
    <col min="11532" max="11532" width="8.125" style="49" customWidth="1"/>
    <col min="11533" max="11533" width="15.375" style="49" customWidth="1"/>
    <col min="11534" max="11776" width="9" style="49"/>
    <col min="11777" max="11777" width="5.125" style="49" customWidth="1"/>
    <col min="11778" max="11778" width="34.125" style="49" customWidth="1"/>
    <col min="11779" max="11779" width="9.625" style="49" customWidth="1"/>
    <col min="11780" max="11780" width="8.625" style="49" customWidth="1"/>
    <col min="11781" max="11781" width="9.375" style="49" customWidth="1"/>
    <col min="11782" max="11782" width="12.875" style="49" customWidth="1"/>
    <col min="11783" max="11783" width="11.75" style="49" customWidth="1"/>
    <col min="11784" max="11784" width="13" style="49" customWidth="1"/>
    <col min="11785" max="11785" width="10.25" style="49" customWidth="1"/>
    <col min="11786" max="11786" width="16.5" style="49" customWidth="1"/>
    <col min="11787" max="11787" width="19.125" style="49" customWidth="1"/>
    <col min="11788" max="11788" width="8.125" style="49" customWidth="1"/>
    <col min="11789" max="11789" width="15.375" style="49" customWidth="1"/>
    <col min="11790" max="12032" width="9" style="49"/>
    <col min="12033" max="12033" width="5.125" style="49" customWidth="1"/>
    <col min="12034" max="12034" width="34.125" style="49" customWidth="1"/>
    <col min="12035" max="12035" width="9.625" style="49" customWidth="1"/>
    <col min="12036" max="12036" width="8.625" style="49" customWidth="1"/>
    <col min="12037" max="12037" width="9.375" style="49" customWidth="1"/>
    <col min="12038" max="12038" width="12.875" style="49" customWidth="1"/>
    <col min="12039" max="12039" width="11.75" style="49" customWidth="1"/>
    <col min="12040" max="12040" width="13" style="49" customWidth="1"/>
    <col min="12041" max="12041" width="10.25" style="49" customWidth="1"/>
    <col min="12042" max="12042" width="16.5" style="49" customWidth="1"/>
    <col min="12043" max="12043" width="19.125" style="49" customWidth="1"/>
    <col min="12044" max="12044" width="8.125" style="49" customWidth="1"/>
    <col min="12045" max="12045" width="15.375" style="49" customWidth="1"/>
    <col min="12046" max="12288" width="9" style="49"/>
    <col min="12289" max="12289" width="5.125" style="49" customWidth="1"/>
    <col min="12290" max="12290" width="34.125" style="49" customWidth="1"/>
    <col min="12291" max="12291" width="9.625" style="49" customWidth="1"/>
    <col min="12292" max="12292" width="8.625" style="49" customWidth="1"/>
    <col min="12293" max="12293" width="9.375" style="49" customWidth="1"/>
    <col min="12294" max="12294" width="12.875" style="49" customWidth="1"/>
    <col min="12295" max="12295" width="11.75" style="49" customWidth="1"/>
    <col min="12296" max="12296" width="13" style="49" customWidth="1"/>
    <col min="12297" max="12297" width="10.25" style="49" customWidth="1"/>
    <col min="12298" max="12298" width="16.5" style="49" customWidth="1"/>
    <col min="12299" max="12299" width="19.125" style="49" customWidth="1"/>
    <col min="12300" max="12300" width="8.125" style="49" customWidth="1"/>
    <col min="12301" max="12301" width="15.375" style="49" customWidth="1"/>
    <col min="12302" max="12544" width="9" style="49"/>
    <col min="12545" max="12545" width="5.125" style="49" customWidth="1"/>
    <col min="12546" max="12546" width="34.125" style="49" customWidth="1"/>
    <col min="12547" max="12547" width="9.625" style="49" customWidth="1"/>
    <col min="12548" max="12548" width="8.625" style="49" customWidth="1"/>
    <col min="12549" max="12549" width="9.375" style="49" customWidth="1"/>
    <col min="12550" max="12550" width="12.875" style="49" customWidth="1"/>
    <col min="12551" max="12551" width="11.75" style="49" customWidth="1"/>
    <col min="12552" max="12552" width="13" style="49" customWidth="1"/>
    <col min="12553" max="12553" width="10.25" style="49" customWidth="1"/>
    <col min="12554" max="12554" width="16.5" style="49" customWidth="1"/>
    <col min="12555" max="12555" width="19.125" style="49" customWidth="1"/>
    <col min="12556" max="12556" width="8.125" style="49" customWidth="1"/>
    <col min="12557" max="12557" width="15.375" style="49" customWidth="1"/>
    <col min="12558" max="12800" width="9" style="49"/>
    <col min="12801" max="12801" width="5.125" style="49" customWidth="1"/>
    <col min="12802" max="12802" width="34.125" style="49" customWidth="1"/>
    <col min="12803" max="12803" width="9.625" style="49" customWidth="1"/>
    <col min="12804" max="12804" width="8.625" style="49" customWidth="1"/>
    <col min="12805" max="12805" width="9.375" style="49" customWidth="1"/>
    <col min="12806" max="12806" width="12.875" style="49" customWidth="1"/>
    <col min="12807" max="12807" width="11.75" style="49" customWidth="1"/>
    <col min="12808" max="12808" width="13" style="49" customWidth="1"/>
    <col min="12809" max="12809" width="10.25" style="49" customWidth="1"/>
    <col min="12810" max="12810" width="16.5" style="49" customWidth="1"/>
    <col min="12811" max="12811" width="19.125" style="49" customWidth="1"/>
    <col min="12812" max="12812" width="8.125" style="49" customWidth="1"/>
    <col min="12813" max="12813" width="15.375" style="49" customWidth="1"/>
    <col min="12814" max="13056" width="9" style="49"/>
    <col min="13057" max="13057" width="5.125" style="49" customWidth="1"/>
    <col min="13058" max="13058" width="34.125" style="49" customWidth="1"/>
    <col min="13059" max="13059" width="9.625" style="49" customWidth="1"/>
    <col min="13060" max="13060" width="8.625" style="49" customWidth="1"/>
    <col min="13061" max="13061" width="9.375" style="49" customWidth="1"/>
    <col min="13062" max="13062" width="12.875" style="49" customWidth="1"/>
    <col min="13063" max="13063" width="11.75" style="49" customWidth="1"/>
    <col min="13064" max="13064" width="13" style="49" customWidth="1"/>
    <col min="13065" max="13065" width="10.25" style="49" customWidth="1"/>
    <col min="13066" max="13066" width="16.5" style="49" customWidth="1"/>
    <col min="13067" max="13067" width="19.125" style="49" customWidth="1"/>
    <col min="13068" max="13068" width="8.125" style="49" customWidth="1"/>
    <col min="13069" max="13069" width="15.375" style="49" customWidth="1"/>
    <col min="13070" max="13312" width="9" style="49"/>
    <col min="13313" max="13313" width="5.125" style="49" customWidth="1"/>
    <col min="13314" max="13314" width="34.125" style="49" customWidth="1"/>
    <col min="13315" max="13315" width="9.625" style="49" customWidth="1"/>
    <col min="13316" max="13316" width="8.625" style="49" customWidth="1"/>
    <col min="13317" max="13317" width="9.375" style="49" customWidth="1"/>
    <col min="13318" max="13318" width="12.875" style="49" customWidth="1"/>
    <col min="13319" max="13319" width="11.75" style="49" customWidth="1"/>
    <col min="13320" max="13320" width="13" style="49" customWidth="1"/>
    <col min="13321" max="13321" width="10.25" style="49" customWidth="1"/>
    <col min="13322" max="13322" width="16.5" style="49" customWidth="1"/>
    <col min="13323" max="13323" width="19.125" style="49" customWidth="1"/>
    <col min="13324" max="13324" width="8.125" style="49" customWidth="1"/>
    <col min="13325" max="13325" width="15.375" style="49" customWidth="1"/>
    <col min="13326" max="13568" width="9" style="49"/>
    <col min="13569" max="13569" width="5.125" style="49" customWidth="1"/>
    <col min="13570" max="13570" width="34.125" style="49" customWidth="1"/>
    <col min="13571" max="13571" width="9.625" style="49" customWidth="1"/>
    <col min="13572" max="13572" width="8.625" style="49" customWidth="1"/>
    <col min="13573" max="13573" width="9.375" style="49" customWidth="1"/>
    <col min="13574" max="13574" width="12.875" style="49" customWidth="1"/>
    <col min="13575" max="13575" width="11.75" style="49" customWidth="1"/>
    <col min="13576" max="13576" width="13" style="49" customWidth="1"/>
    <col min="13577" max="13577" width="10.25" style="49" customWidth="1"/>
    <col min="13578" max="13578" width="16.5" style="49" customWidth="1"/>
    <col min="13579" max="13579" width="19.125" style="49" customWidth="1"/>
    <col min="13580" max="13580" width="8.125" style="49" customWidth="1"/>
    <col min="13581" max="13581" width="15.375" style="49" customWidth="1"/>
    <col min="13582" max="13824" width="9" style="49"/>
    <col min="13825" max="13825" width="5.125" style="49" customWidth="1"/>
    <col min="13826" max="13826" width="34.125" style="49" customWidth="1"/>
    <col min="13827" max="13827" width="9.625" style="49" customWidth="1"/>
    <col min="13828" max="13828" width="8.625" style="49" customWidth="1"/>
    <col min="13829" max="13829" width="9.375" style="49" customWidth="1"/>
    <col min="13830" max="13830" width="12.875" style="49" customWidth="1"/>
    <col min="13831" max="13831" width="11.75" style="49" customWidth="1"/>
    <col min="13832" max="13832" width="13" style="49" customWidth="1"/>
    <col min="13833" max="13833" width="10.25" style="49" customWidth="1"/>
    <col min="13834" max="13834" width="16.5" style="49" customWidth="1"/>
    <col min="13835" max="13835" width="19.125" style="49" customWidth="1"/>
    <col min="13836" max="13836" width="8.125" style="49" customWidth="1"/>
    <col min="13837" max="13837" width="15.375" style="49" customWidth="1"/>
    <col min="13838" max="14080" width="9" style="49"/>
    <col min="14081" max="14081" width="5.125" style="49" customWidth="1"/>
    <col min="14082" max="14082" width="34.125" style="49" customWidth="1"/>
    <col min="14083" max="14083" width="9.625" style="49" customWidth="1"/>
    <col min="14084" max="14084" width="8.625" style="49" customWidth="1"/>
    <col min="14085" max="14085" width="9.375" style="49" customWidth="1"/>
    <col min="14086" max="14086" width="12.875" style="49" customWidth="1"/>
    <col min="14087" max="14087" width="11.75" style="49" customWidth="1"/>
    <col min="14088" max="14088" width="13" style="49" customWidth="1"/>
    <col min="14089" max="14089" width="10.25" style="49" customWidth="1"/>
    <col min="14090" max="14090" width="16.5" style="49" customWidth="1"/>
    <col min="14091" max="14091" width="19.125" style="49" customWidth="1"/>
    <col min="14092" max="14092" width="8.125" style="49" customWidth="1"/>
    <col min="14093" max="14093" width="15.375" style="49" customWidth="1"/>
    <col min="14094" max="14336" width="9" style="49"/>
    <col min="14337" max="14337" width="5.125" style="49" customWidth="1"/>
    <col min="14338" max="14338" width="34.125" style="49" customWidth="1"/>
    <col min="14339" max="14339" width="9.625" style="49" customWidth="1"/>
    <col min="14340" max="14340" width="8.625" style="49" customWidth="1"/>
    <col min="14341" max="14341" width="9.375" style="49" customWidth="1"/>
    <col min="14342" max="14342" width="12.875" style="49" customWidth="1"/>
    <col min="14343" max="14343" width="11.75" style="49" customWidth="1"/>
    <col min="14344" max="14344" width="13" style="49" customWidth="1"/>
    <col min="14345" max="14345" width="10.25" style="49" customWidth="1"/>
    <col min="14346" max="14346" width="16.5" style="49" customWidth="1"/>
    <col min="14347" max="14347" width="19.125" style="49" customWidth="1"/>
    <col min="14348" max="14348" width="8.125" style="49" customWidth="1"/>
    <col min="14349" max="14349" width="15.375" style="49" customWidth="1"/>
    <col min="14350" max="14592" width="9" style="49"/>
    <col min="14593" max="14593" width="5.125" style="49" customWidth="1"/>
    <col min="14594" max="14594" width="34.125" style="49" customWidth="1"/>
    <col min="14595" max="14595" width="9.625" style="49" customWidth="1"/>
    <col min="14596" max="14596" width="8.625" style="49" customWidth="1"/>
    <col min="14597" max="14597" width="9.375" style="49" customWidth="1"/>
    <col min="14598" max="14598" width="12.875" style="49" customWidth="1"/>
    <col min="14599" max="14599" width="11.75" style="49" customWidth="1"/>
    <col min="14600" max="14600" width="13" style="49" customWidth="1"/>
    <col min="14601" max="14601" width="10.25" style="49" customWidth="1"/>
    <col min="14602" max="14602" width="16.5" style="49" customWidth="1"/>
    <col min="14603" max="14603" width="19.125" style="49" customWidth="1"/>
    <col min="14604" max="14604" width="8.125" style="49" customWidth="1"/>
    <col min="14605" max="14605" width="15.375" style="49" customWidth="1"/>
    <col min="14606" max="14848" width="9" style="49"/>
    <col min="14849" max="14849" width="5.125" style="49" customWidth="1"/>
    <col min="14850" max="14850" width="34.125" style="49" customWidth="1"/>
    <col min="14851" max="14851" width="9.625" style="49" customWidth="1"/>
    <col min="14852" max="14852" width="8.625" style="49" customWidth="1"/>
    <col min="14853" max="14853" width="9.375" style="49" customWidth="1"/>
    <col min="14854" max="14854" width="12.875" style="49" customWidth="1"/>
    <col min="14855" max="14855" width="11.75" style="49" customWidth="1"/>
    <col min="14856" max="14856" width="13" style="49" customWidth="1"/>
    <col min="14857" max="14857" width="10.25" style="49" customWidth="1"/>
    <col min="14858" max="14858" width="16.5" style="49" customWidth="1"/>
    <col min="14859" max="14859" width="19.125" style="49" customWidth="1"/>
    <col min="14860" max="14860" width="8.125" style="49" customWidth="1"/>
    <col min="14861" max="14861" width="15.375" style="49" customWidth="1"/>
    <col min="14862" max="15104" width="9" style="49"/>
    <col min="15105" max="15105" width="5.125" style="49" customWidth="1"/>
    <col min="15106" max="15106" width="34.125" style="49" customWidth="1"/>
    <col min="15107" max="15107" width="9.625" style="49" customWidth="1"/>
    <col min="15108" max="15108" width="8.625" style="49" customWidth="1"/>
    <col min="15109" max="15109" width="9.375" style="49" customWidth="1"/>
    <col min="15110" max="15110" width="12.875" style="49" customWidth="1"/>
    <col min="15111" max="15111" width="11.75" style="49" customWidth="1"/>
    <col min="15112" max="15112" width="13" style="49" customWidth="1"/>
    <col min="15113" max="15113" width="10.25" style="49" customWidth="1"/>
    <col min="15114" max="15114" width="16.5" style="49" customWidth="1"/>
    <col min="15115" max="15115" width="19.125" style="49" customWidth="1"/>
    <col min="15116" max="15116" width="8.125" style="49" customWidth="1"/>
    <col min="15117" max="15117" width="15.375" style="49" customWidth="1"/>
    <col min="15118" max="15360" width="9" style="49"/>
    <col min="15361" max="15361" width="5.125" style="49" customWidth="1"/>
    <col min="15362" max="15362" width="34.125" style="49" customWidth="1"/>
    <col min="15363" max="15363" width="9.625" style="49" customWidth="1"/>
    <col min="15364" max="15364" width="8.625" style="49" customWidth="1"/>
    <col min="15365" max="15365" width="9.375" style="49" customWidth="1"/>
    <col min="15366" max="15366" width="12.875" style="49" customWidth="1"/>
    <col min="15367" max="15367" width="11.75" style="49" customWidth="1"/>
    <col min="15368" max="15368" width="13" style="49" customWidth="1"/>
    <col min="15369" max="15369" width="10.25" style="49" customWidth="1"/>
    <col min="15370" max="15370" width="16.5" style="49" customWidth="1"/>
    <col min="15371" max="15371" width="19.125" style="49" customWidth="1"/>
    <col min="15372" max="15372" width="8.125" style="49" customWidth="1"/>
    <col min="15373" max="15373" width="15.375" style="49" customWidth="1"/>
    <col min="15374" max="15616" width="9" style="49"/>
    <col min="15617" max="15617" width="5.125" style="49" customWidth="1"/>
    <col min="15618" max="15618" width="34.125" style="49" customWidth="1"/>
    <col min="15619" max="15619" width="9.625" style="49" customWidth="1"/>
    <col min="15620" max="15620" width="8.625" style="49" customWidth="1"/>
    <col min="15621" max="15621" width="9.375" style="49" customWidth="1"/>
    <col min="15622" max="15622" width="12.875" style="49" customWidth="1"/>
    <col min="15623" max="15623" width="11.75" style="49" customWidth="1"/>
    <col min="15624" max="15624" width="13" style="49" customWidth="1"/>
    <col min="15625" max="15625" width="10.25" style="49" customWidth="1"/>
    <col min="15626" max="15626" width="16.5" style="49" customWidth="1"/>
    <col min="15627" max="15627" width="19.125" style="49" customWidth="1"/>
    <col min="15628" max="15628" width="8.125" style="49" customWidth="1"/>
    <col min="15629" max="15629" width="15.375" style="49" customWidth="1"/>
    <col min="15630" max="15872" width="9" style="49"/>
    <col min="15873" max="15873" width="5.125" style="49" customWidth="1"/>
    <col min="15874" max="15874" width="34.125" style="49" customWidth="1"/>
    <col min="15875" max="15875" width="9.625" style="49" customWidth="1"/>
    <col min="15876" max="15876" width="8.625" style="49" customWidth="1"/>
    <col min="15877" max="15877" width="9.375" style="49" customWidth="1"/>
    <col min="15878" max="15878" width="12.875" style="49" customWidth="1"/>
    <col min="15879" max="15879" width="11.75" style="49" customWidth="1"/>
    <col min="15880" max="15880" width="13" style="49" customWidth="1"/>
    <col min="15881" max="15881" width="10.25" style="49" customWidth="1"/>
    <col min="15882" max="15882" width="16.5" style="49" customWidth="1"/>
    <col min="15883" max="15883" width="19.125" style="49" customWidth="1"/>
    <col min="15884" max="15884" width="8.125" style="49" customWidth="1"/>
    <col min="15885" max="15885" width="15.375" style="49" customWidth="1"/>
    <col min="15886" max="16128" width="9" style="49"/>
    <col min="16129" max="16129" width="5.125" style="49" customWidth="1"/>
    <col min="16130" max="16130" width="34.125" style="49" customWidth="1"/>
    <col min="16131" max="16131" width="9.625" style="49" customWidth="1"/>
    <col min="16132" max="16132" width="8.625" style="49" customWidth="1"/>
    <col min="16133" max="16133" width="9.375" style="49" customWidth="1"/>
    <col min="16134" max="16134" width="12.875" style="49" customWidth="1"/>
    <col min="16135" max="16135" width="11.75" style="49" customWidth="1"/>
    <col min="16136" max="16136" width="13" style="49" customWidth="1"/>
    <col min="16137" max="16137" width="10.25" style="49" customWidth="1"/>
    <col min="16138" max="16138" width="16.5" style="49" customWidth="1"/>
    <col min="16139" max="16139" width="19.125" style="49" customWidth="1"/>
    <col min="16140" max="16140" width="8.125" style="49" customWidth="1"/>
    <col min="16141" max="16141" width="15.375" style="49" customWidth="1"/>
    <col min="16142" max="16384" width="9" style="49"/>
  </cols>
  <sheetData>
    <row r="1" spans="1:26" ht="18.75" customHeight="1">
      <c r="A1" s="419" t="s">
        <v>491</v>
      </c>
      <c r="B1" s="419"/>
      <c r="C1" s="419"/>
      <c r="D1" s="419"/>
      <c r="E1" s="419" t="s">
        <v>114</v>
      </c>
      <c r="F1" s="419"/>
      <c r="G1" s="419"/>
      <c r="H1" s="419"/>
      <c r="I1" s="419"/>
      <c r="J1" s="419"/>
      <c r="K1" s="419"/>
    </row>
    <row r="2" spans="1:26" ht="16.5" customHeight="1">
      <c r="A2" s="419" t="s">
        <v>492</v>
      </c>
      <c r="B2" s="419"/>
      <c r="C2" s="419"/>
      <c r="D2" s="419"/>
      <c r="E2" s="419" t="s">
        <v>115</v>
      </c>
      <c r="F2" s="419"/>
      <c r="G2" s="419"/>
      <c r="H2" s="419"/>
      <c r="I2" s="419"/>
      <c r="J2" s="419"/>
      <c r="K2" s="419"/>
    </row>
    <row r="3" spans="1:26" ht="12.75" customHeight="1">
      <c r="A3" s="46"/>
      <c r="B3" s="46"/>
      <c r="C3" s="46"/>
      <c r="D3" s="46"/>
      <c r="E3" s="46"/>
      <c r="F3" s="46"/>
      <c r="G3" s="46"/>
      <c r="H3" s="207"/>
      <c r="I3" s="46"/>
      <c r="J3" s="46"/>
      <c r="K3" s="46"/>
    </row>
    <row r="4" spans="1:26" ht="16.5" customHeight="1">
      <c r="A4" s="420" t="s">
        <v>298</v>
      </c>
      <c r="B4" s="420"/>
      <c r="C4" s="420"/>
      <c r="D4" s="420"/>
      <c r="E4" s="107"/>
      <c r="F4" s="108"/>
      <c r="G4" s="198"/>
      <c r="H4" s="421"/>
      <c r="I4" s="421"/>
      <c r="J4" s="421"/>
      <c r="K4" s="421"/>
      <c r="L4" s="109"/>
      <c r="M4" s="109"/>
      <c r="N4" s="109"/>
      <c r="O4" s="109"/>
      <c r="P4" s="109"/>
      <c r="Q4" s="109"/>
      <c r="R4" s="109"/>
      <c r="S4" s="109"/>
      <c r="T4" s="107"/>
      <c r="U4" s="107"/>
      <c r="V4" s="107"/>
      <c r="W4" s="107"/>
      <c r="X4" s="107"/>
      <c r="Y4" s="107"/>
      <c r="Z4" s="110"/>
    </row>
    <row r="5" spans="1:26">
      <c r="A5" s="423"/>
      <c r="B5" s="423"/>
      <c r="C5" s="423"/>
      <c r="D5" s="423"/>
      <c r="E5" s="107"/>
      <c r="F5" s="108"/>
      <c r="G5" s="198"/>
      <c r="H5" s="208"/>
      <c r="I5" s="111"/>
      <c r="J5" s="111"/>
      <c r="K5" s="111"/>
      <c r="L5" s="109"/>
      <c r="M5" s="109"/>
      <c r="N5" s="109"/>
      <c r="O5" s="109"/>
      <c r="P5" s="109"/>
      <c r="Q5" s="109"/>
      <c r="R5" s="109"/>
      <c r="S5" s="109"/>
      <c r="T5" s="107"/>
      <c r="U5" s="107"/>
      <c r="V5" s="107"/>
      <c r="W5" s="107"/>
      <c r="X5" s="107"/>
      <c r="Y5" s="107"/>
      <c r="Z5" s="110"/>
    </row>
    <row r="6" spans="1:26" s="48" customFormat="1">
      <c r="A6" s="46"/>
      <c r="B6" s="419" t="s">
        <v>117</v>
      </c>
      <c r="C6" s="419"/>
      <c r="D6" s="419"/>
      <c r="E6" s="419"/>
      <c r="F6" s="419"/>
      <c r="G6" s="419"/>
      <c r="H6" s="419"/>
      <c r="I6" s="419"/>
      <c r="J6" s="419"/>
      <c r="K6" s="419"/>
    </row>
    <row r="7" spans="1:26" ht="45" customHeight="1">
      <c r="A7" s="419" t="s">
        <v>243</v>
      </c>
      <c r="B7" s="419"/>
      <c r="C7" s="419"/>
      <c r="D7" s="419"/>
      <c r="E7" s="419"/>
      <c r="F7" s="419"/>
      <c r="G7" s="419"/>
      <c r="H7" s="419"/>
      <c r="I7" s="419"/>
      <c r="J7" s="419"/>
      <c r="K7" s="419"/>
    </row>
    <row r="8" spans="1:26" ht="18.75" customHeight="1">
      <c r="A8" s="418" t="s">
        <v>494</v>
      </c>
      <c r="B8" s="418"/>
      <c r="C8" s="418"/>
      <c r="D8" s="418"/>
      <c r="E8" s="418"/>
      <c r="F8" s="418"/>
      <c r="G8" s="418"/>
      <c r="H8" s="418"/>
      <c r="I8" s="418"/>
      <c r="J8" s="418"/>
      <c r="K8" s="418"/>
    </row>
    <row r="9" spans="1:26" ht="9" customHeight="1">
      <c r="B9" s="94"/>
      <c r="C9" s="94"/>
      <c r="D9" s="94"/>
      <c r="E9" s="94"/>
      <c r="F9" s="94"/>
      <c r="G9" s="94"/>
      <c r="H9" s="209"/>
      <c r="I9" s="94"/>
      <c r="J9" s="94"/>
      <c r="K9" s="94"/>
    </row>
    <row r="10" spans="1:26">
      <c r="A10" s="424" t="s">
        <v>118</v>
      </c>
      <c r="B10" s="424"/>
      <c r="C10" s="424"/>
      <c r="D10" s="424"/>
      <c r="E10" s="424"/>
      <c r="F10" s="424"/>
      <c r="G10" s="424"/>
      <c r="H10" s="424"/>
      <c r="I10" s="424"/>
      <c r="J10" s="424"/>
      <c r="K10" s="424"/>
    </row>
    <row r="11" spans="1:26" ht="77.25" customHeight="1">
      <c r="A11" s="425" t="s">
        <v>364</v>
      </c>
      <c r="B11" s="411"/>
      <c r="C11" s="411"/>
      <c r="D11" s="411"/>
      <c r="E11" s="411"/>
      <c r="F11" s="411"/>
      <c r="G11" s="411"/>
      <c r="H11" s="411"/>
      <c r="I11" s="411"/>
      <c r="J11" s="411"/>
      <c r="K11" s="411"/>
    </row>
    <row r="12" spans="1:26" ht="96.75" customHeight="1">
      <c r="A12" s="411" t="s">
        <v>363</v>
      </c>
      <c r="B12" s="411"/>
      <c r="C12" s="411"/>
      <c r="D12" s="411"/>
      <c r="E12" s="411"/>
      <c r="F12" s="411"/>
      <c r="G12" s="411"/>
      <c r="H12" s="411"/>
      <c r="I12" s="411"/>
      <c r="J12" s="411"/>
      <c r="K12" s="411"/>
    </row>
    <row r="13" spans="1:26" ht="96.75" customHeight="1">
      <c r="A13" s="411" t="s">
        <v>362</v>
      </c>
      <c r="B13" s="411"/>
      <c r="C13" s="411"/>
      <c r="D13" s="411"/>
      <c r="E13" s="411"/>
      <c r="F13" s="411"/>
      <c r="G13" s="411"/>
      <c r="H13" s="411"/>
      <c r="I13" s="411"/>
      <c r="J13" s="411"/>
      <c r="K13" s="411"/>
    </row>
    <row r="14" spans="1:26" ht="57.75" customHeight="1">
      <c r="A14" s="433" t="s">
        <v>478</v>
      </c>
      <c r="B14" s="434"/>
      <c r="C14" s="434"/>
      <c r="D14" s="434"/>
      <c r="E14" s="434"/>
      <c r="F14" s="434"/>
      <c r="G14" s="434"/>
      <c r="H14" s="434"/>
      <c r="I14" s="434"/>
      <c r="J14" s="434"/>
      <c r="K14" s="434"/>
    </row>
    <row r="15" spans="1:26" ht="60" customHeight="1">
      <c r="A15" s="411" t="s">
        <v>361</v>
      </c>
      <c r="B15" s="411"/>
      <c r="C15" s="411"/>
      <c r="D15" s="411"/>
      <c r="E15" s="411"/>
      <c r="F15" s="411"/>
      <c r="G15" s="411"/>
      <c r="H15" s="411"/>
      <c r="I15" s="411"/>
      <c r="J15" s="411"/>
      <c r="K15" s="411"/>
    </row>
    <row r="16" spans="1:26" ht="39" customHeight="1">
      <c r="A16" s="411" t="s">
        <v>360</v>
      </c>
      <c r="B16" s="411"/>
      <c r="C16" s="411"/>
      <c r="D16" s="411"/>
      <c r="E16" s="411"/>
      <c r="F16" s="411"/>
      <c r="G16" s="411"/>
      <c r="H16" s="411"/>
      <c r="I16" s="411"/>
      <c r="J16" s="411"/>
      <c r="K16" s="411"/>
    </row>
    <row r="17" spans="1:16" ht="39" customHeight="1">
      <c r="A17" s="411" t="s">
        <v>365</v>
      </c>
      <c r="B17" s="411"/>
      <c r="C17" s="411"/>
      <c r="D17" s="411"/>
      <c r="E17" s="411"/>
      <c r="F17" s="411"/>
      <c r="G17" s="411"/>
      <c r="H17" s="411"/>
      <c r="I17" s="411"/>
      <c r="J17" s="411"/>
      <c r="K17" s="411"/>
    </row>
    <row r="18" spans="1:16" ht="95.25" customHeight="1">
      <c r="A18" s="411" t="s">
        <v>380</v>
      </c>
      <c r="B18" s="411"/>
      <c r="C18" s="411"/>
      <c r="D18" s="411"/>
      <c r="E18" s="411"/>
      <c r="F18" s="411"/>
      <c r="G18" s="411"/>
      <c r="H18" s="411"/>
      <c r="I18" s="411"/>
      <c r="J18" s="411"/>
      <c r="K18" s="411"/>
    </row>
    <row r="19" spans="1:16">
      <c r="A19" s="414" t="s">
        <v>205</v>
      </c>
      <c r="B19" s="414"/>
      <c r="C19" s="414"/>
      <c r="D19" s="414"/>
      <c r="E19" s="414"/>
      <c r="F19" s="414"/>
      <c r="G19" s="414"/>
      <c r="H19" s="414"/>
      <c r="I19" s="48"/>
      <c r="J19" s="48"/>
      <c r="K19" s="48"/>
    </row>
    <row r="20" spans="1:16" ht="24.75" customHeight="1">
      <c r="A20" s="414" t="s">
        <v>318</v>
      </c>
      <c r="B20" s="414"/>
      <c r="C20" s="414"/>
      <c r="D20" s="414"/>
      <c r="E20" s="414"/>
      <c r="F20" s="414"/>
      <c r="G20" s="414"/>
      <c r="H20" s="414"/>
      <c r="I20" s="414"/>
      <c r="J20" s="414"/>
      <c r="K20" s="414"/>
    </row>
    <row r="21" spans="1:16" ht="24.75" customHeight="1">
      <c r="A21" s="414" t="s">
        <v>319</v>
      </c>
      <c r="B21" s="414"/>
      <c r="C21" s="414"/>
      <c r="D21" s="414"/>
      <c r="E21" s="414"/>
      <c r="F21" s="414"/>
      <c r="G21" s="414"/>
      <c r="H21" s="414"/>
      <c r="I21" s="414"/>
      <c r="J21" s="414"/>
      <c r="K21" s="414"/>
    </row>
    <row r="22" spans="1:16" ht="21" customHeight="1">
      <c r="A22" s="395" t="s">
        <v>320</v>
      </c>
      <c r="B22" s="395"/>
      <c r="C22" s="395"/>
      <c r="D22" s="395"/>
      <c r="E22" s="395"/>
      <c r="F22" s="395" t="s">
        <v>321</v>
      </c>
      <c r="G22" s="395"/>
      <c r="H22" s="395"/>
      <c r="I22" s="50"/>
      <c r="J22" s="50"/>
      <c r="K22" s="50"/>
    </row>
    <row r="23" spans="1:16" ht="20.25" customHeight="1">
      <c r="A23" s="395" t="s">
        <v>302</v>
      </c>
      <c r="B23" s="395"/>
      <c r="C23" s="395"/>
      <c r="D23" s="395"/>
      <c r="E23" s="395"/>
      <c r="F23" s="395"/>
      <c r="G23" s="395"/>
      <c r="H23" s="422" t="s">
        <v>119</v>
      </c>
      <c r="I23" s="422"/>
      <c r="J23" s="112" t="s">
        <v>233</v>
      </c>
      <c r="K23" s="50"/>
    </row>
    <row r="24" spans="1:16" ht="20.25" customHeight="1">
      <c r="A24" s="395" t="s">
        <v>303</v>
      </c>
      <c r="B24" s="395"/>
      <c r="C24" s="395"/>
      <c r="D24" s="395"/>
      <c r="E24" s="395"/>
      <c r="F24" s="395"/>
      <c r="G24" s="395"/>
      <c r="H24" s="395"/>
      <c r="I24" s="395"/>
      <c r="J24" s="395"/>
      <c r="K24" s="395"/>
    </row>
    <row r="25" spans="1:16" ht="20.25" customHeight="1">
      <c r="A25" s="395" t="s">
        <v>120</v>
      </c>
      <c r="B25" s="395"/>
      <c r="C25" s="395"/>
      <c r="D25" s="395"/>
      <c r="E25" s="395"/>
      <c r="F25" s="395"/>
      <c r="G25" s="395"/>
      <c r="H25" s="210">
        <v>5</v>
      </c>
      <c r="I25" s="395" t="s">
        <v>121</v>
      </c>
      <c r="J25" s="395"/>
      <c r="K25" s="50"/>
      <c r="L25" s="48"/>
      <c r="M25" s="48"/>
      <c r="O25" s="48"/>
      <c r="P25" s="48"/>
    </row>
    <row r="26" spans="1:16">
      <c r="A26" s="414" t="s">
        <v>122</v>
      </c>
      <c r="B26" s="414"/>
      <c r="C26" s="414"/>
      <c r="D26" s="414"/>
      <c r="E26" s="414"/>
      <c r="F26" s="414"/>
      <c r="G26" s="199"/>
      <c r="H26" s="211"/>
      <c r="I26" s="51"/>
      <c r="J26" s="51"/>
      <c r="K26" s="51"/>
    </row>
    <row r="27" spans="1:16" ht="38.25" customHeight="1">
      <c r="A27" s="394" t="s">
        <v>358</v>
      </c>
      <c r="B27" s="394"/>
      <c r="C27" s="394"/>
      <c r="D27" s="394"/>
      <c r="E27" s="394"/>
      <c r="F27" s="394"/>
      <c r="G27" s="394"/>
      <c r="H27" s="394"/>
      <c r="I27" s="394"/>
      <c r="J27" s="394"/>
      <c r="K27" s="394"/>
    </row>
    <row r="28" spans="1:16" s="115" customFormat="1" ht="42" customHeight="1">
      <c r="A28" s="426" t="s">
        <v>123</v>
      </c>
      <c r="B28" s="426"/>
      <c r="C28" s="426"/>
      <c r="D28" s="426"/>
      <c r="E28" s="426"/>
      <c r="F28" s="113">
        <v>2364</v>
      </c>
      <c r="G28" s="200" t="s">
        <v>179</v>
      </c>
      <c r="H28" s="212"/>
      <c r="I28" s="114"/>
      <c r="J28" s="114"/>
      <c r="K28" s="114"/>
    </row>
    <row r="29" spans="1:16" ht="22.5">
      <c r="A29" s="395" t="s">
        <v>124</v>
      </c>
      <c r="B29" s="395"/>
      <c r="C29" s="395"/>
      <c r="D29" s="395"/>
      <c r="E29" s="395"/>
      <c r="F29" s="116">
        <v>1174.5</v>
      </c>
      <c r="G29" s="190" t="s">
        <v>180</v>
      </c>
      <c r="H29" s="396" t="s">
        <v>125</v>
      </c>
      <c r="I29" s="396"/>
      <c r="J29" s="50"/>
      <c r="K29" s="50"/>
    </row>
    <row r="30" spans="1:16" s="120" customFormat="1" ht="40.5" customHeight="1">
      <c r="A30" s="117"/>
      <c r="B30" s="399" t="s">
        <v>126</v>
      </c>
      <c r="C30" s="399"/>
      <c r="D30" s="399"/>
      <c r="E30" s="118"/>
      <c r="F30" s="119">
        <v>494</v>
      </c>
      <c r="G30" s="190" t="s">
        <v>181</v>
      </c>
      <c r="H30" s="397" t="str">
        <f>"(Chiếm "&amp;N64&amp;"% Tổng diện tích đất nông nghiệp được giao đang sử dụng)"</f>
        <v>(Chiếm 20,9% Tổng diện tích đất nông nghiệp được giao đang sử dụng)</v>
      </c>
      <c r="I30" s="397"/>
      <c r="J30" s="397"/>
      <c r="K30" s="397"/>
    </row>
    <row r="31" spans="1:16" s="120" customFormat="1" ht="22.5">
      <c r="A31" s="117"/>
      <c r="B31" s="399" t="s">
        <v>127</v>
      </c>
      <c r="C31" s="399"/>
      <c r="D31" s="399"/>
      <c r="E31" s="121"/>
      <c r="F31" s="119">
        <f>F29-F30</f>
        <v>680.5</v>
      </c>
      <c r="G31" s="190" t="s">
        <v>181</v>
      </c>
      <c r="H31" s="213"/>
      <c r="I31" s="122"/>
      <c r="J31" s="122"/>
      <c r="K31" s="122"/>
    </row>
    <row r="32" spans="1:16" ht="136.5" customHeight="1">
      <c r="A32" s="437" t="s">
        <v>483</v>
      </c>
      <c r="B32" s="437"/>
      <c r="C32" s="437"/>
      <c r="D32" s="437"/>
      <c r="E32" s="437"/>
      <c r="F32" s="437"/>
      <c r="G32" s="437"/>
      <c r="H32" s="437"/>
      <c r="I32" s="437"/>
      <c r="J32" s="437"/>
      <c r="K32" s="437"/>
    </row>
    <row r="33" spans="1:11" ht="78" customHeight="1">
      <c r="A33" s="437" t="s">
        <v>484</v>
      </c>
      <c r="B33" s="437"/>
      <c r="C33" s="437"/>
      <c r="D33" s="437"/>
      <c r="E33" s="437"/>
      <c r="F33" s="437"/>
      <c r="G33" s="437"/>
      <c r="H33" s="437"/>
      <c r="I33" s="437"/>
      <c r="J33" s="437"/>
      <c r="K33" s="437"/>
    </row>
    <row r="34" spans="1:11">
      <c r="A34" s="414" t="s">
        <v>206</v>
      </c>
      <c r="B34" s="414"/>
      <c r="C34" s="414"/>
      <c r="D34" s="414"/>
      <c r="E34" s="414"/>
      <c r="F34" s="414"/>
      <c r="G34" s="414"/>
      <c r="H34" s="414"/>
      <c r="I34" s="414"/>
      <c r="J34" s="414"/>
      <c r="K34" s="414"/>
    </row>
    <row r="35" spans="1:11" s="48" customFormat="1">
      <c r="A35" s="427" t="s">
        <v>128</v>
      </c>
      <c r="B35" s="427"/>
      <c r="C35" s="427"/>
      <c r="D35" s="427"/>
      <c r="E35" s="52"/>
      <c r="F35" s="53"/>
      <c r="G35" s="201"/>
      <c r="H35" s="214"/>
      <c r="I35" s="52"/>
      <c r="J35" s="53"/>
      <c r="K35" s="52"/>
    </row>
    <row r="36" spans="1:11" s="47" customFormat="1" ht="75.75" customHeight="1">
      <c r="A36" s="95" t="s">
        <v>129</v>
      </c>
      <c r="B36" s="403" t="s">
        <v>12</v>
      </c>
      <c r="C36" s="428"/>
      <c r="D36" s="95" t="s">
        <v>130</v>
      </c>
      <c r="E36" s="95" t="s">
        <v>131</v>
      </c>
      <c r="F36" s="429" t="s">
        <v>477</v>
      </c>
      <c r="G36" s="430"/>
      <c r="H36" s="215" t="s">
        <v>132</v>
      </c>
      <c r="I36" s="95" t="s">
        <v>133</v>
      </c>
      <c r="J36" s="96" t="s">
        <v>134</v>
      </c>
      <c r="K36" s="95" t="s">
        <v>6</v>
      </c>
    </row>
    <row r="37" spans="1:11" s="52" customFormat="1" ht="33" customHeight="1">
      <c r="A37" s="70">
        <v>1</v>
      </c>
      <c r="B37" s="431" t="s">
        <v>352</v>
      </c>
      <c r="C37" s="432"/>
      <c r="D37" s="65" t="s">
        <v>182</v>
      </c>
      <c r="E37" s="123">
        <f>F30</f>
        <v>494</v>
      </c>
      <c r="F37" s="392">
        <v>155000</v>
      </c>
      <c r="G37" s="393"/>
      <c r="H37" s="216"/>
      <c r="I37" s="67">
        <v>1</v>
      </c>
      <c r="J37" s="71">
        <f>E37*F37*I37</f>
        <v>76570000</v>
      </c>
      <c r="K37" s="70"/>
    </row>
    <row r="38" spans="1:11" s="128" customFormat="1" ht="36" customHeight="1">
      <c r="A38" s="405" t="s">
        <v>136</v>
      </c>
      <c r="B38" s="405"/>
      <c r="C38" s="405"/>
      <c r="D38" s="405"/>
      <c r="E38" s="124">
        <f>SUM(E37:E37)</f>
        <v>494</v>
      </c>
      <c r="F38" s="405"/>
      <c r="G38" s="405"/>
      <c r="H38" s="217"/>
      <c r="I38" s="125"/>
      <c r="J38" s="126">
        <f>SUM(J37:J37)</f>
        <v>76570000</v>
      </c>
      <c r="K38" s="127"/>
    </row>
    <row r="39" spans="1:11" s="47" customFormat="1">
      <c r="A39" s="448"/>
      <c r="B39" s="448"/>
      <c r="C39" s="448"/>
      <c r="D39" s="448"/>
      <c r="E39" s="448"/>
      <c r="F39" s="448"/>
      <c r="G39" s="448"/>
      <c r="H39" s="448"/>
      <c r="I39" s="448"/>
      <c r="J39" s="448"/>
      <c r="K39" s="448"/>
    </row>
    <row r="40" spans="1:11" s="129" customFormat="1" ht="39.75" customHeight="1">
      <c r="A40" s="407" t="s">
        <v>137</v>
      </c>
      <c r="B40" s="407"/>
      <c r="C40" s="407"/>
      <c r="D40" s="407"/>
      <c r="E40" s="407"/>
      <c r="F40" s="407"/>
      <c r="G40" s="407"/>
      <c r="H40" s="407"/>
      <c r="I40" s="407"/>
      <c r="J40" s="407"/>
      <c r="K40" s="407"/>
    </row>
    <row r="41" spans="1:11" s="130" customFormat="1" ht="70.5" customHeight="1">
      <c r="A41" s="95" t="s">
        <v>138</v>
      </c>
      <c r="B41" s="408" t="s">
        <v>139</v>
      </c>
      <c r="C41" s="409"/>
      <c r="D41" s="409"/>
      <c r="E41" s="409"/>
      <c r="F41" s="409"/>
      <c r="G41" s="409"/>
      <c r="H41" s="409"/>
      <c r="I41" s="409"/>
      <c r="J41" s="409"/>
      <c r="K41" s="410"/>
    </row>
    <row r="42" spans="1:11" ht="23.25" customHeight="1">
      <c r="A42" s="403" t="s">
        <v>129</v>
      </c>
      <c r="B42" s="403" t="s">
        <v>140</v>
      </c>
      <c r="C42" s="403" t="s">
        <v>141</v>
      </c>
      <c r="D42" s="403" t="s">
        <v>142</v>
      </c>
      <c r="E42" s="403"/>
      <c r="F42" s="403"/>
      <c r="G42" s="403" t="s">
        <v>143</v>
      </c>
      <c r="H42" s="330" t="s">
        <v>144</v>
      </c>
      <c r="I42" s="403" t="s">
        <v>133</v>
      </c>
      <c r="J42" s="404" t="s">
        <v>134</v>
      </c>
      <c r="K42" s="403" t="s">
        <v>6</v>
      </c>
    </row>
    <row r="43" spans="1:11" ht="36" customHeight="1">
      <c r="A43" s="403"/>
      <c r="B43" s="403"/>
      <c r="C43" s="403"/>
      <c r="D43" s="54" t="s">
        <v>145</v>
      </c>
      <c r="E43" s="54" t="s">
        <v>146</v>
      </c>
      <c r="F43" s="55" t="s">
        <v>165</v>
      </c>
      <c r="G43" s="403"/>
      <c r="H43" s="330"/>
      <c r="I43" s="403"/>
      <c r="J43" s="404"/>
      <c r="K43" s="403"/>
    </row>
    <row r="44" spans="1:11" ht="36" customHeight="1">
      <c r="A44" s="70">
        <v>1</v>
      </c>
      <c r="B44" s="224" t="s">
        <v>279</v>
      </c>
      <c r="C44" s="70" t="s">
        <v>182</v>
      </c>
      <c r="D44" s="68"/>
      <c r="E44" s="237">
        <v>66</v>
      </c>
      <c r="F44" s="232">
        <v>1.45</v>
      </c>
      <c r="G44" s="70">
        <f>ROUND(E44*F44,2)</f>
        <v>95.7</v>
      </c>
      <c r="H44" s="223">
        <v>272700</v>
      </c>
      <c r="I44" s="238">
        <v>0</v>
      </c>
      <c r="J44" s="252">
        <f>ROUND(G44*H44*I44,2)</f>
        <v>0</v>
      </c>
      <c r="K44" s="70"/>
    </row>
    <row r="45" spans="1:11" s="69" customFormat="1" ht="19.5">
      <c r="A45" s="440" t="s">
        <v>147</v>
      </c>
      <c r="B45" s="440"/>
      <c r="C45" s="440"/>
      <c r="D45" s="131"/>
      <c r="E45" s="132"/>
      <c r="F45" s="133"/>
      <c r="G45" s="202"/>
      <c r="H45" s="218"/>
      <c r="I45" s="58"/>
      <c r="J45" s="134">
        <f>SUM(J44)</f>
        <v>0</v>
      </c>
      <c r="K45" s="135"/>
    </row>
    <row r="46" spans="1:11" s="69" customFormat="1" ht="57.75" customHeight="1">
      <c r="A46" s="95" t="s">
        <v>148</v>
      </c>
      <c r="B46" s="408" t="s">
        <v>351</v>
      </c>
      <c r="C46" s="409"/>
      <c r="D46" s="409"/>
      <c r="E46" s="409"/>
      <c r="F46" s="409"/>
      <c r="G46" s="409"/>
      <c r="H46" s="409"/>
      <c r="I46" s="409"/>
      <c r="J46" s="409"/>
      <c r="K46" s="410"/>
    </row>
    <row r="47" spans="1:11" s="69" customFormat="1" ht="61.5" customHeight="1">
      <c r="A47" s="56" t="s">
        <v>129</v>
      </c>
      <c r="B47" s="56" t="s">
        <v>149</v>
      </c>
      <c r="C47" s="56" t="s">
        <v>141</v>
      </c>
      <c r="D47" s="415" t="s">
        <v>150</v>
      </c>
      <c r="E47" s="416"/>
      <c r="F47" s="417"/>
      <c r="G47" s="57" t="s">
        <v>151</v>
      </c>
      <c r="H47" s="219" t="s">
        <v>144</v>
      </c>
      <c r="I47" s="58" t="s">
        <v>133</v>
      </c>
      <c r="J47" s="59" t="s">
        <v>134</v>
      </c>
      <c r="K47" s="56" t="s">
        <v>6</v>
      </c>
    </row>
    <row r="48" spans="1:11" s="195" customFormat="1" ht="45" customHeight="1">
      <c r="A48" s="400">
        <v>1</v>
      </c>
      <c r="B48" s="412" t="s">
        <v>273</v>
      </c>
      <c r="C48" s="400" t="s">
        <v>255</v>
      </c>
      <c r="D48" s="387" t="s">
        <v>288</v>
      </c>
      <c r="E48" s="388"/>
      <c r="F48" s="389"/>
      <c r="G48" s="194">
        <v>7</v>
      </c>
      <c r="H48" s="220">
        <v>598500</v>
      </c>
      <c r="I48" s="67">
        <v>0</v>
      </c>
      <c r="J48" s="136">
        <f>ROUND(G48*H48*I48,2)</f>
        <v>0</v>
      </c>
      <c r="K48" s="194"/>
    </row>
    <row r="49" spans="1:15" s="195" customFormat="1" ht="45" customHeight="1">
      <c r="A49" s="401"/>
      <c r="B49" s="444"/>
      <c r="C49" s="401"/>
      <c r="D49" s="387" t="s">
        <v>289</v>
      </c>
      <c r="E49" s="388"/>
      <c r="F49" s="389"/>
      <c r="G49" s="194">
        <v>4</v>
      </c>
      <c r="H49" s="220">
        <v>239400</v>
      </c>
      <c r="I49" s="67">
        <v>0</v>
      </c>
      <c r="J49" s="136">
        <f t="shared" ref="J49:J54" si="0">ROUND(G49*H49*I49,2)</f>
        <v>0</v>
      </c>
      <c r="K49" s="194"/>
    </row>
    <row r="50" spans="1:15" s="195" customFormat="1" ht="45" customHeight="1">
      <c r="A50" s="402"/>
      <c r="B50" s="413"/>
      <c r="C50" s="402"/>
      <c r="D50" s="387" t="s">
        <v>277</v>
      </c>
      <c r="E50" s="388"/>
      <c r="F50" s="389"/>
      <c r="G50" s="194">
        <v>27</v>
      </c>
      <c r="H50" s="220">
        <v>167600</v>
      </c>
      <c r="I50" s="67">
        <v>0</v>
      </c>
      <c r="J50" s="136">
        <f t="shared" si="0"/>
        <v>0</v>
      </c>
      <c r="K50" s="194"/>
    </row>
    <row r="51" spans="1:15" s="195" customFormat="1" ht="45" customHeight="1">
      <c r="A51" s="400">
        <v>2</v>
      </c>
      <c r="B51" s="412" t="s">
        <v>256</v>
      </c>
      <c r="C51" s="400" t="s">
        <v>255</v>
      </c>
      <c r="D51" s="387" t="s">
        <v>290</v>
      </c>
      <c r="E51" s="388"/>
      <c r="F51" s="389"/>
      <c r="G51" s="194">
        <v>3</v>
      </c>
      <c r="H51" s="220">
        <v>210000</v>
      </c>
      <c r="I51" s="67">
        <v>0</v>
      </c>
      <c r="J51" s="136">
        <f t="shared" si="0"/>
        <v>0</v>
      </c>
      <c r="K51" s="194"/>
    </row>
    <row r="52" spans="1:15" s="195" customFormat="1" ht="45" customHeight="1">
      <c r="A52" s="402"/>
      <c r="B52" s="413"/>
      <c r="C52" s="402"/>
      <c r="D52" s="387" t="s">
        <v>291</v>
      </c>
      <c r="E52" s="388"/>
      <c r="F52" s="389"/>
      <c r="G52" s="194">
        <v>8</v>
      </c>
      <c r="H52" s="220">
        <v>997500</v>
      </c>
      <c r="I52" s="67">
        <v>0</v>
      </c>
      <c r="J52" s="136">
        <f t="shared" si="0"/>
        <v>0</v>
      </c>
      <c r="K52" s="194"/>
    </row>
    <row r="53" spans="1:15" s="195" customFormat="1" ht="45" customHeight="1">
      <c r="A53" s="206">
        <v>3</v>
      </c>
      <c r="B53" s="239" t="s">
        <v>287</v>
      </c>
      <c r="C53" s="206" t="s">
        <v>255</v>
      </c>
      <c r="D53" s="387" t="s">
        <v>292</v>
      </c>
      <c r="E53" s="388"/>
      <c r="F53" s="389"/>
      <c r="G53" s="194">
        <v>2</v>
      </c>
      <c r="H53" s="220">
        <v>89300</v>
      </c>
      <c r="I53" s="67">
        <v>0</v>
      </c>
      <c r="J53" s="136">
        <f t="shared" si="0"/>
        <v>0</v>
      </c>
      <c r="K53" s="194"/>
    </row>
    <row r="54" spans="1:15" s="195" customFormat="1" ht="45" customHeight="1">
      <c r="A54" s="401">
        <v>4</v>
      </c>
      <c r="B54" s="444" t="s">
        <v>257</v>
      </c>
      <c r="C54" s="401" t="s">
        <v>255</v>
      </c>
      <c r="D54" s="387" t="s">
        <v>293</v>
      </c>
      <c r="E54" s="388"/>
      <c r="F54" s="389"/>
      <c r="G54" s="194">
        <v>4</v>
      </c>
      <c r="H54" s="220">
        <v>37800</v>
      </c>
      <c r="I54" s="67">
        <v>0</v>
      </c>
      <c r="J54" s="136">
        <f t="shared" si="0"/>
        <v>0</v>
      </c>
      <c r="K54" s="194"/>
    </row>
    <row r="55" spans="1:15" s="195" customFormat="1" ht="45" customHeight="1">
      <c r="A55" s="402"/>
      <c r="B55" s="413"/>
      <c r="C55" s="402"/>
      <c r="D55" s="387" t="s">
        <v>264</v>
      </c>
      <c r="E55" s="388"/>
      <c r="F55" s="389"/>
      <c r="G55" s="194">
        <v>2</v>
      </c>
      <c r="H55" s="220">
        <v>63000</v>
      </c>
      <c r="I55" s="67">
        <v>0</v>
      </c>
      <c r="J55" s="136">
        <f t="shared" ref="J55" si="1">ROUND(G55*H55*I55,2)</f>
        <v>0</v>
      </c>
      <c r="K55" s="194"/>
    </row>
    <row r="56" spans="1:15" s="47" customFormat="1">
      <c r="A56" s="403" t="s">
        <v>147</v>
      </c>
      <c r="B56" s="403"/>
      <c r="C56" s="403"/>
      <c r="D56" s="403"/>
      <c r="E56" s="403"/>
      <c r="F56" s="403"/>
      <c r="G56" s="95"/>
      <c r="H56" s="217"/>
      <c r="I56" s="137"/>
      <c r="J56" s="138">
        <f>SUM(J48:J55)</f>
        <v>0</v>
      </c>
      <c r="K56" s="70"/>
    </row>
    <row r="57" spans="1:15" s="47" customFormat="1" ht="26.25" customHeight="1">
      <c r="A57" s="403" t="s">
        <v>152</v>
      </c>
      <c r="B57" s="403"/>
      <c r="C57" s="403"/>
      <c r="D57" s="403"/>
      <c r="E57" s="403"/>
      <c r="F57" s="403"/>
      <c r="G57" s="403"/>
      <c r="H57" s="403"/>
      <c r="I57" s="403"/>
      <c r="J57" s="138">
        <f>J56+J45</f>
        <v>0</v>
      </c>
      <c r="K57" s="70"/>
    </row>
    <row r="58" spans="1:15" ht="33" customHeight="1">
      <c r="A58" s="414" t="s">
        <v>153</v>
      </c>
      <c r="B58" s="414"/>
      <c r="C58" s="414"/>
    </row>
    <row r="59" spans="1:15" ht="36" customHeight="1">
      <c r="A59" s="95" t="s">
        <v>129</v>
      </c>
      <c r="B59" s="415" t="s">
        <v>154</v>
      </c>
      <c r="C59" s="416"/>
      <c r="D59" s="416"/>
      <c r="E59" s="417"/>
      <c r="F59" s="95" t="s">
        <v>130</v>
      </c>
      <c r="G59" s="95" t="s">
        <v>151</v>
      </c>
      <c r="H59" s="222" t="s">
        <v>144</v>
      </c>
      <c r="I59" s="61" t="s">
        <v>155</v>
      </c>
      <c r="J59" s="96" t="s">
        <v>134</v>
      </c>
      <c r="K59" s="95" t="s">
        <v>6</v>
      </c>
    </row>
    <row r="60" spans="1:15" ht="109.5" customHeight="1">
      <c r="A60" s="70">
        <v>1</v>
      </c>
      <c r="B60" s="439" t="s">
        <v>156</v>
      </c>
      <c r="C60" s="439"/>
      <c r="D60" s="439"/>
      <c r="E60" s="439"/>
      <c r="F60" s="70" t="s">
        <v>182</v>
      </c>
      <c r="G60" s="139">
        <f>F30</f>
        <v>494</v>
      </c>
      <c r="H60" s="223">
        <f>155000*5</f>
        <v>775000</v>
      </c>
      <c r="I60" s="67">
        <v>1</v>
      </c>
      <c r="J60" s="136">
        <f t="shared" ref="J60" si="2">ROUND(G60*H60*I60,2)</f>
        <v>382850000</v>
      </c>
      <c r="K60" s="62" t="s">
        <v>157</v>
      </c>
    </row>
    <row r="61" spans="1:15" ht="111" customHeight="1">
      <c r="A61" s="70">
        <v>2</v>
      </c>
      <c r="B61" s="439" t="s">
        <v>369</v>
      </c>
      <c r="C61" s="439"/>
      <c r="D61" s="439"/>
      <c r="E61" s="439"/>
      <c r="F61" s="70" t="s">
        <v>158</v>
      </c>
      <c r="G61" s="441" t="s">
        <v>382</v>
      </c>
      <c r="H61" s="442"/>
      <c r="I61" s="443"/>
      <c r="J61" s="140">
        <f>H25*30*16000*3</f>
        <v>7200000</v>
      </c>
      <c r="K61" s="63" t="s">
        <v>372</v>
      </c>
    </row>
    <row r="62" spans="1:15" s="47" customFormat="1" ht="90.75" customHeight="1">
      <c r="A62" s="70">
        <v>3</v>
      </c>
      <c r="B62" s="439" t="s">
        <v>159</v>
      </c>
      <c r="C62" s="439"/>
      <c r="D62" s="439"/>
      <c r="E62" s="439"/>
      <c r="F62" s="70" t="s">
        <v>182</v>
      </c>
      <c r="G62" s="141">
        <f>F30</f>
        <v>494</v>
      </c>
      <c r="H62" s="223">
        <v>3000</v>
      </c>
      <c r="I62" s="67">
        <v>1</v>
      </c>
      <c r="J62" s="140">
        <f>IF(G62*H62*I62&gt;=3000000,3000000,G62*H62*I62)</f>
        <v>1482000</v>
      </c>
      <c r="K62" s="65"/>
    </row>
    <row r="63" spans="1:15" ht="36.75" customHeight="1">
      <c r="A63" s="403" t="s">
        <v>136</v>
      </c>
      <c r="B63" s="403"/>
      <c r="C63" s="403"/>
      <c r="D63" s="403"/>
      <c r="E63" s="403"/>
      <c r="F63" s="403"/>
      <c r="G63" s="403"/>
      <c r="H63" s="403"/>
      <c r="I63" s="403"/>
      <c r="J63" s="138">
        <f>SUM(J60:J62)</f>
        <v>391532000</v>
      </c>
      <c r="K63" s="66"/>
    </row>
    <row r="64" spans="1:15">
      <c r="A64" s="438" t="s">
        <v>160</v>
      </c>
      <c r="B64" s="438"/>
      <c r="C64" s="438"/>
      <c r="D64" s="438"/>
      <c r="E64" s="438"/>
      <c r="F64" s="438"/>
      <c r="G64" s="435">
        <f>J38+J57+J63</f>
        <v>468102000</v>
      </c>
      <c r="H64" s="435"/>
      <c r="I64" s="142" t="s">
        <v>161</v>
      </c>
      <c r="K64" s="128"/>
      <c r="N64" s="64">
        <f>ROUND(F30/F28%,2)</f>
        <v>20.9</v>
      </c>
      <c r="O64" s="143">
        <f>H25</f>
        <v>5</v>
      </c>
    </row>
    <row r="65" spans="1:11" ht="32.25" customHeight="1">
      <c r="B65" s="105" t="s">
        <v>178</v>
      </c>
      <c r="C65" s="436" t="str">
        <f>[1]!VND(G64)</f>
        <v>Bốn trăm sáu mươi tám triệu, một trăm lẻ hai nghìn đồng chẵn.</v>
      </c>
      <c r="D65" s="436"/>
      <c r="E65" s="436"/>
      <c r="F65" s="436"/>
      <c r="G65" s="436"/>
      <c r="H65" s="436"/>
      <c r="I65" s="436"/>
      <c r="J65" s="436"/>
      <c r="K65" s="436"/>
    </row>
    <row r="66" spans="1:11" s="128" customFormat="1">
      <c r="A66" s="47"/>
      <c r="B66" s="49"/>
      <c r="C66" s="49"/>
      <c r="D66" s="49"/>
      <c r="E66" s="49"/>
      <c r="F66" s="60"/>
      <c r="G66" s="203"/>
      <c r="H66" s="221"/>
      <c r="I66" s="49"/>
      <c r="J66" s="60"/>
      <c r="K66" s="49"/>
    </row>
    <row r="67" spans="1:11" s="128" customFormat="1">
      <c r="A67" s="47"/>
      <c r="B67" s="49"/>
      <c r="C67" s="49"/>
      <c r="D67" s="49"/>
      <c r="E67" s="49"/>
      <c r="F67" s="60"/>
      <c r="G67" s="203"/>
      <c r="H67" s="221"/>
      <c r="I67" s="49"/>
      <c r="J67" s="60"/>
      <c r="K67" s="49"/>
    </row>
  </sheetData>
  <mergeCells count="92">
    <mergeCell ref="A16:K16"/>
    <mergeCell ref="A17:K17"/>
    <mergeCell ref="G61:I61"/>
    <mergeCell ref="A63:I63"/>
    <mergeCell ref="A64:F64"/>
    <mergeCell ref="G64:H64"/>
    <mergeCell ref="A56:C56"/>
    <mergeCell ref="D56:F56"/>
    <mergeCell ref="A57:I57"/>
    <mergeCell ref="A54:A55"/>
    <mergeCell ref="B54:B55"/>
    <mergeCell ref="C54:C55"/>
    <mergeCell ref="A45:C45"/>
    <mergeCell ref="B46:K46"/>
    <mergeCell ref="D47:F47"/>
    <mergeCell ref="D48:F48"/>
    <mergeCell ref="C65:K65"/>
    <mergeCell ref="A48:A50"/>
    <mergeCell ref="B48:B50"/>
    <mergeCell ref="C48:C50"/>
    <mergeCell ref="D50:F50"/>
    <mergeCell ref="A51:A52"/>
    <mergeCell ref="B51:B52"/>
    <mergeCell ref="A58:C58"/>
    <mergeCell ref="B59:E59"/>
    <mergeCell ref="B60:E60"/>
    <mergeCell ref="B61:E61"/>
    <mergeCell ref="B62:E62"/>
    <mergeCell ref="D51:F51"/>
    <mergeCell ref="D52:F52"/>
    <mergeCell ref="D55:F55"/>
    <mergeCell ref="C51:C52"/>
    <mergeCell ref="D49:F49"/>
    <mergeCell ref="D53:F53"/>
    <mergeCell ref="D54:F54"/>
    <mergeCell ref="B41:K41"/>
    <mergeCell ref="A42:A43"/>
    <mergeCell ref="B42:B43"/>
    <mergeCell ref="C42:C43"/>
    <mergeCell ref="D42:F42"/>
    <mergeCell ref="G42:G43"/>
    <mergeCell ref="H42:H43"/>
    <mergeCell ref="I42:I43"/>
    <mergeCell ref="J42:J43"/>
    <mergeCell ref="K42:K43"/>
    <mergeCell ref="A40:K40"/>
    <mergeCell ref="B31:D31"/>
    <mergeCell ref="A33:K33"/>
    <mergeCell ref="A34:K34"/>
    <mergeCell ref="A35:D35"/>
    <mergeCell ref="B36:C36"/>
    <mergeCell ref="F36:G36"/>
    <mergeCell ref="B37:C37"/>
    <mergeCell ref="F37:G37"/>
    <mergeCell ref="A38:D38"/>
    <mergeCell ref="F38:G38"/>
    <mergeCell ref="A39:K39"/>
    <mergeCell ref="A32:K32"/>
    <mergeCell ref="A27:K27"/>
    <mergeCell ref="A28:E28"/>
    <mergeCell ref="A29:E29"/>
    <mergeCell ref="H29:I29"/>
    <mergeCell ref="B30:D30"/>
    <mergeCell ref="H30:K30"/>
    <mergeCell ref="A26:F26"/>
    <mergeCell ref="A18:K18"/>
    <mergeCell ref="A19:H19"/>
    <mergeCell ref="A20:K20"/>
    <mergeCell ref="A21:K21"/>
    <mergeCell ref="A22:E22"/>
    <mergeCell ref="F22:H22"/>
    <mergeCell ref="A23:G23"/>
    <mergeCell ref="H23:I23"/>
    <mergeCell ref="A24:K24"/>
    <mergeCell ref="A25:G25"/>
    <mergeCell ref="I25:J25"/>
    <mergeCell ref="A1:D1"/>
    <mergeCell ref="E1:K1"/>
    <mergeCell ref="A2:D2"/>
    <mergeCell ref="E2:K2"/>
    <mergeCell ref="A4:D4"/>
    <mergeCell ref="H4:K4"/>
    <mergeCell ref="A11:K11"/>
    <mergeCell ref="A12:K12"/>
    <mergeCell ref="A13:K13"/>
    <mergeCell ref="A15:K15"/>
    <mergeCell ref="A5:D5"/>
    <mergeCell ref="B6:K6"/>
    <mergeCell ref="A7:K7"/>
    <mergeCell ref="A8:K8"/>
    <mergeCell ref="A10:K10"/>
    <mergeCell ref="A14:K14"/>
  </mergeCells>
  <printOptions horizontalCentered="1"/>
  <pageMargins left="0.27559055118110237" right="7.874015748031496E-2" top="0.39370078740157483" bottom="0.15748031496062992" header="0.19685039370078741" footer="0.15748031496062992"/>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BTH 12 PA</vt:lpstr>
      <vt:lpstr>Kèm GM KTNY</vt:lpstr>
      <vt:lpstr>BTH 24 hộ</vt:lpstr>
      <vt:lpstr> 1. Đỗ Văn Dân th13 + th12 t3</vt:lpstr>
      <vt:lpstr>2. Đỗ Văn Tĩnh</vt:lpstr>
      <vt:lpstr>3. Đỗ Thị Chi</vt:lpstr>
      <vt:lpstr>4. Lưu Tiến Tịnh</vt:lpstr>
      <vt:lpstr>5. Lưu Thị Nụ</vt:lpstr>
      <vt:lpstr>6. Nguyễn Văn Tùng</vt:lpstr>
      <vt:lpstr>7.  Phùng Quốc Long</vt:lpstr>
      <vt:lpstr>8. Nguyễn Ngọc Kính th18 t1</vt:lpstr>
      <vt:lpstr>9. Ngô Văn Lẫm</vt:lpstr>
      <vt:lpstr>10. Ngô Văn Tuấn</vt:lpstr>
      <vt:lpstr>11. Nguyễn Văn Năm</vt:lpstr>
      <vt:lpstr>12. Ngô Thị Hà</vt:lpstr>
      <vt:lpstr>' 1. Đỗ Văn Dân th13 + th12 t3'!Print_Area</vt:lpstr>
      <vt:lpstr>'10. Ngô Văn Tuấn'!Print_Area</vt:lpstr>
      <vt:lpstr>'11. Nguyễn Văn Năm'!Print_Area</vt:lpstr>
      <vt:lpstr>'12. Ngô Thị Hà'!Print_Area</vt:lpstr>
      <vt:lpstr>'5. Lưu Thị Nụ'!Print_Area</vt:lpstr>
      <vt:lpstr>'8. Nguyễn Ngọc Kính th18 t1'!Print_Area</vt:lpstr>
      <vt:lpstr>'9. Ngô Văn Lẫm'!Print_Area</vt:lpstr>
      <vt:lpstr>'BTH 12 PA'!Print_Area</vt:lpstr>
      <vt:lpstr>'Kèm GM KTNY'!Print_Area</vt:lpstr>
      <vt:lpstr>'BTH 12 PA'!Print_Titles</vt:lpstr>
      <vt:lpstr>'BTH 24 hộ'!Print_Titles</vt:lpstr>
      <vt:lpstr>'Kèm GM KTNY'!Print_Titles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2025-10-31T06:50:19Z</cp:lastPrinted>
  <dcterms:created xsi:type="dcterms:W3CDTF">2025-02-07T02:57:18Z</dcterms:created>
  <dcterms:modified xsi:type="dcterms:W3CDTF">2025-10-31T09:38:39Z</dcterms:modified>
</cp:coreProperties>
</file>